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DOSSIER LADIFATOU Octobre 2018\Courrier SCDP\"/>
    </mc:Choice>
  </mc:AlternateContent>
  <bookViews>
    <workbookView xWindow="120" yWindow="60" windowWidth="15165" windowHeight="7650"/>
  </bookViews>
  <sheets>
    <sheet name="DECOMPTE N°6" sheetId="9" r:id="rId1"/>
    <sheet name="ATTACHEMENT N°6" sheetId="10" r:id="rId2"/>
    <sheet name="AVANCEMENT" sheetId="5" r:id="rId3"/>
    <sheet name="consomation délai" sheetId="8" r:id="rId4"/>
    <sheet name="consomation délai (2)" sheetId="14" r:id="rId5"/>
    <sheet name="consomation délai (3)" sheetId="18" r:id="rId6"/>
    <sheet name="AVANCEMENT Final" sheetId="15" r:id="rId7"/>
    <sheet name="DECOMPTE N°6 (2)" sheetId="16" r:id="rId8"/>
    <sheet name="Tableau délais 1" sheetId="19" r:id="rId9"/>
    <sheet name="Tableau délais 2" sheetId="20" r:id="rId10"/>
  </sheets>
  <definedNames>
    <definedName name="_xlnm.Print_Area" localSheetId="1">'ATTACHEMENT N°6'!$A$1:$N$99</definedName>
    <definedName name="_xlnm.Print_Area" localSheetId="2">AVANCEMENT!$A$3:$M$98</definedName>
    <definedName name="_xlnm.Print_Area" localSheetId="6">'AVANCEMENT Final'!$A$3:$M$98</definedName>
    <definedName name="_xlnm.Print_Area" localSheetId="0">'DECOMPTE N°6'!$A$2:$N$112</definedName>
    <definedName name="_xlnm.Print_Area" localSheetId="7">'DECOMPTE N°6 (2)'!$A$2:$N$102</definedName>
  </definedNames>
  <calcPr calcId="152511"/>
</workbook>
</file>

<file path=xl/calcChain.xml><?xml version="1.0" encoding="utf-8"?>
<calcChain xmlns="http://schemas.openxmlformats.org/spreadsheetml/2006/main">
  <c r="E118" i="14" l="1"/>
  <c r="O118" i="14"/>
  <c r="P118" i="14"/>
  <c r="P119" i="14"/>
  <c r="K118" i="14"/>
  <c r="H118" i="14"/>
  <c r="D118" i="14"/>
  <c r="E119" i="14" s="1"/>
  <c r="G118" i="14"/>
  <c r="E108" i="14"/>
  <c r="D108" i="14"/>
  <c r="E109" i="14" s="1"/>
  <c r="L118" i="14"/>
  <c r="L119" i="14" s="1"/>
  <c r="K108" i="14"/>
  <c r="L108" i="14"/>
  <c r="G108" i="14"/>
  <c r="O123" i="14" l="1"/>
  <c r="O121" i="14"/>
  <c r="H119" i="14"/>
  <c r="G121" i="14" s="1"/>
  <c r="D121" i="14"/>
  <c r="D123" i="14"/>
  <c r="K121" i="14"/>
  <c r="K123" i="14"/>
  <c r="G123" i="14" l="1"/>
  <c r="N19" i="9" l="1"/>
  <c r="N87" i="9"/>
  <c r="H108" i="18" l="1"/>
  <c r="G108" i="18"/>
  <c r="H118" i="18"/>
  <c r="H8" i="19"/>
  <c r="E5" i="19"/>
  <c r="H5" i="19" s="1"/>
  <c r="C11" i="20"/>
  <c r="C18" i="20"/>
  <c r="G111" i="20"/>
  <c r="F111" i="20"/>
  <c r="L108" i="18"/>
  <c r="E108" i="18"/>
  <c r="B10" i="19"/>
  <c r="E4" i="19"/>
  <c r="H4" i="19" s="1"/>
  <c r="D106" i="19"/>
  <c r="E6" i="19"/>
  <c r="H6" i="19" s="1"/>
  <c r="H116" i="19"/>
  <c r="H117" i="19" s="1"/>
  <c r="D116" i="19"/>
  <c r="C116" i="19"/>
  <c r="L106" i="19"/>
  <c r="K106" i="19"/>
  <c r="H106" i="19"/>
  <c r="C106" i="19"/>
  <c r="G118" i="18"/>
  <c r="H119" i="18" s="1"/>
  <c r="E118" i="18"/>
  <c r="D118" i="18"/>
  <c r="E119" i="18" s="1"/>
  <c r="K108" i="18"/>
  <c r="L109" i="18" s="1"/>
  <c r="D108" i="18"/>
  <c r="C102" i="18"/>
  <c r="H98" i="18"/>
  <c r="G98" i="18"/>
  <c r="G93" i="18"/>
  <c r="F93" i="18"/>
  <c r="G92" i="18"/>
  <c r="H92" i="18" s="1"/>
  <c r="F92" i="18"/>
  <c r="G91" i="18"/>
  <c r="F91" i="18"/>
  <c r="G90" i="18"/>
  <c r="F90" i="18"/>
  <c r="G89" i="18"/>
  <c r="F89" i="18"/>
  <c r="G84" i="18"/>
  <c r="F84" i="18"/>
  <c r="G83" i="18"/>
  <c r="G85" i="18" s="1"/>
  <c r="F83" i="18"/>
  <c r="F85" i="18" s="1"/>
  <c r="G78" i="18"/>
  <c r="F78" i="18"/>
  <c r="G77" i="18"/>
  <c r="H77" i="18" s="1"/>
  <c r="F77" i="18"/>
  <c r="G76" i="18"/>
  <c r="F76" i="18"/>
  <c r="G75" i="18"/>
  <c r="F75" i="18"/>
  <c r="G74" i="18"/>
  <c r="F74" i="18"/>
  <c r="G71" i="18"/>
  <c r="F71" i="18"/>
  <c r="G70" i="18"/>
  <c r="G72" i="18" s="1"/>
  <c r="H72" i="18" s="1"/>
  <c r="F70" i="18"/>
  <c r="F72" i="18" s="1"/>
  <c r="G67" i="18"/>
  <c r="H67" i="18" s="1"/>
  <c r="F67" i="18"/>
  <c r="G66" i="18"/>
  <c r="G68" i="18" s="1"/>
  <c r="H68" i="18" s="1"/>
  <c r="F66" i="18"/>
  <c r="F68" i="18" s="1"/>
  <c r="G63" i="18"/>
  <c r="F63" i="18"/>
  <c r="G62" i="18"/>
  <c r="H62" i="18" s="1"/>
  <c r="F62" i="18"/>
  <c r="G61" i="18"/>
  <c r="F61" i="18"/>
  <c r="G60" i="18"/>
  <c r="F60" i="18"/>
  <c r="G59" i="18"/>
  <c r="F59" i="18"/>
  <c r="G56" i="18"/>
  <c r="F56" i="18"/>
  <c r="G55" i="18"/>
  <c r="H55" i="18" s="1"/>
  <c r="F55" i="18"/>
  <c r="G54" i="18"/>
  <c r="F54" i="18"/>
  <c r="G53" i="18"/>
  <c r="F53" i="18"/>
  <c r="G52" i="18"/>
  <c r="F52" i="18"/>
  <c r="G48" i="18"/>
  <c r="F48" i="18"/>
  <c r="G47" i="18"/>
  <c r="G49" i="18" s="1"/>
  <c r="G46" i="18"/>
  <c r="F46" i="18"/>
  <c r="H46" i="18" s="1"/>
  <c r="G41" i="18"/>
  <c r="F41" i="18"/>
  <c r="H41" i="18" s="1"/>
  <c r="G40" i="18"/>
  <c r="F40" i="18"/>
  <c r="G39" i="18"/>
  <c r="F39" i="18"/>
  <c r="H39" i="18" s="1"/>
  <c r="G38" i="18"/>
  <c r="F38" i="18"/>
  <c r="G37" i="18"/>
  <c r="H37" i="18" s="1"/>
  <c r="F37" i="18"/>
  <c r="G36" i="18"/>
  <c r="H36" i="18" s="1"/>
  <c r="F36" i="18"/>
  <c r="G35" i="18"/>
  <c r="F35" i="18"/>
  <c r="G34" i="18"/>
  <c r="H34" i="18" s="1"/>
  <c r="F34" i="18"/>
  <c r="G33" i="18"/>
  <c r="F33" i="18"/>
  <c r="G32" i="18"/>
  <c r="F32" i="18"/>
  <c r="G31" i="18"/>
  <c r="F31" i="18"/>
  <c r="G26" i="18"/>
  <c r="H26" i="18" s="1"/>
  <c r="F26" i="18"/>
  <c r="G25" i="18"/>
  <c r="F25" i="18"/>
  <c r="G24" i="18"/>
  <c r="G27" i="18" s="1"/>
  <c r="F24" i="18"/>
  <c r="G21" i="18"/>
  <c r="H21" i="18" s="1"/>
  <c r="F21" i="18"/>
  <c r="G20" i="18"/>
  <c r="G22" i="18" s="1"/>
  <c r="F20" i="18"/>
  <c r="F22" i="18" s="1"/>
  <c r="G17" i="18"/>
  <c r="F17" i="18"/>
  <c r="G16" i="18"/>
  <c r="H16" i="18" s="1"/>
  <c r="F16" i="18"/>
  <c r="G15" i="18"/>
  <c r="F15" i="18"/>
  <c r="G14" i="18"/>
  <c r="H14" i="18" s="1"/>
  <c r="F14" i="18"/>
  <c r="G13" i="18"/>
  <c r="F13" i="18"/>
  <c r="G12" i="18"/>
  <c r="H12" i="18" s="1"/>
  <c r="F12" i="18"/>
  <c r="G11" i="18"/>
  <c r="F11" i="18"/>
  <c r="F18" i="18" s="1"/>
  <c r="G7" i="18"/>
  <c r="F7" i="18"/>
  <c r="G6" i="18"/>
  <c r="H6" i="18" s="1"/>
  <c r="F6" i="18"/>
  <c r="G5" i="18"/>
  <c r="F5" i="18"/>
  <c r="F1" i="18"/>
  <c r="H108" i="14"/>
  <c r="L109" i="14"/>
  <c r="G42" i="18" l="1"/>
  <c r="G57" i="18"/>
  <c r="G64" i="18"/>
  <c r="G79" i="18"/>
  <c r="G94" i="18"/>
  <c r="H5" i="18"/>
  <c r="H7" i="18"/>
  <c r="H13" i="18"/>
  <c r="H15" i="18"/>
  <c r="H17" i="18"/>
  <c r="F27" i="18"/>
  <c r="H31" i="18"/>
  <c r="H33" i="18"/>
  <c r="H35" i="18"/>
  <c r="H38" i="18"/>
  <c r="H40" i="18"/>
  <c r="H48" i="18"/>
  <c r="H52" i="18"/>
  <c r="H54" i="18"/>
  <c r="H56" i="18"/>
  <c r="H59" i="18"/>
  <c r="H61" i="18"/>
  <c r="H63" i="18"/>
  <c r="H71" i="18"/>
  <c r="H74" i="18"/>
  <c r="H76" i="18"/>
  <c r="H78" i="18"/>
  <c r="H84" i="18"/>
  <c r="H89" i="18"/>
  <c r="H91" i="18"/>
  <c r="H93" i="18"/>
  <c r="H109" i="18"/>
  <c r="G111" i="18" s="1"/>
  <c r="C20" i="20"/>
  <c r="E10" i="19"/>
  <c r="B11" i="19" s="1"/>
  <c r="G112" i="20"/>
  <c r="F116" i="20" s="1"/>
  <c r="D107" i="19"/>
  <c r="C109" i="19" s="1"/>
  <c r="L107" i="19"/>
  <c r="K111" i="19" s="1"/>
  <c r="D117" i="19"/>
  <c r="C121" i="19" s="1"/>
  <c r="E109" i="18"/>
  <c r="H107" i="19"/>
  <c r="K109" i="19"/>
  <c r="H99" i="18"/>
  <c r="G103" i="18" s="1"/>
  <c r="H104" i="18" s="1"/>
  <c r="G80" i="18"/>
  <c r="H85" i="18"/>
  <c r="G95" i="18"/>
  <c r="D111" i="18"/>
  <c r="D113" i="18"/>
  <c r="G113" i="18"/>
  <c r="K111" i="18"/>
  <c r="K113" i="18"/>
  <c r="D123" i="18"/>
  <c r="D121" i="18"/>
  <c r="H27" i="18"/>
  <c r="G123" i="18"/>
  <c r="G121" i="18"/>
  <c r="H22" i="18"/>
  <c r="G8" i="18"/>
  <c r="H11" i="18"/>
  <c r="G18" i="18"/>
  <c r="H18" i="18" s="1"/>
  <c r="H20" i="18"/>
  <c r="H25" i="18"/>
  <c r="F8" i="18"/>
  <c r="F28" i="18" s="1"/>
  <c r="H24" i="18"/>
  <c r="H32" i="18"/>
  <c r="F42" i="18"/>
  <c r="H42" i="18" s="1"/>
  <c r="H47" i="18"/>
  <c r="F49" i="18"/>
  <c r="H49" i="18" s="1"/>
  <c r="H53" i="18"/>
  <c r="F57" i="18"/>
  <c r="H60" i="18"/>
  <c r="F64" i="18"/>
  <c r="H64" i="18" s="1"/>
  <c r="H70" i="18"/>
  <c r="H75" i="18"/>
  <c r="F79" i="18"/>
  <c r="H79" i="18" s="1"/>
  <c r="H83" i="18"/>
  <c r="H90" i="18"/>
  <c r="F94" i="18"/>
  <c r="F95" i="18" s="1"/>
  <c r="H66" i="18"/>
  <c r="D113" i="14"/>
  <c r="K111" i="14"/>
  <c r="K113" i="14"/>
  <c r="M18" i="16"/>
  <c r="M92" i="16"/>
  <c r="M93" i="16"/>
  <c r="N93" i="16" s="1"/>
  <c r="M91" i="16"/>
  <c r="M87" i="16"/>
  <c r="M77" i="16"/>
  <c r="M66" i="16"/>
  <c r="M53" i="16"/>
  <c r="M26" i="16"/>
  <c r="M25" i="16"/>
  <c r="M14" i="16"/>
  <c r="M16" i="16"/>
  <c r="E93" i="16"/>
  <c r="E92" i="16"/>
  <c r="E91" i="16"/>
  <c r="N91" i="16" s="1"/>
  <c r="E90" i="16"/>
  <c r="E89" i="16"/>
  <c r="F87" i="16"/>
  <c r="E84" i="16"/>
  <c r="E83" i="16"/>
  <c r="E78" i="16"/>
  <c r="E77" i="16"/>
  <c r="E76" i="16"/>
  <c r="E75" i="16"/>
  <c r="E74" i="16"/>
  <c r="E71" i="16"/>
  <c r="E70" i="16"/>
  <c r="E67" i="16"/>
  <c r="E66" i="16"/>
  <c r="E63" i="16"/>
  <c r="E62" i="16"/>
  <c r="E61" i="16"/>
  <c r="E60" i="16"/>
  <c r="E59" i="16"/>
  <c r="E56" i="16"/>
  <c r="E55" i="16"/>
  <c r="E54" i="16"/>
  <c r="E53" i="16"/>
  <c r="E52" i="16"/>
  <c r="E48" i="16"/>
  <c r="E47" i="16"/>
  <c r="E46" i="16"/>
  <c r="E42" i="16"/>
  <c r="E41" i="16"/>
  <c r="E40" i="16"/>
  <c r="E39" i="16"/>
  <c r="E38" i="16"/>
  <c r="E37" i="16"/>
  <c r="E36" i="16"/>
  <c r="E35" i="16"/>
  <c r="E34" i="16"/>
  <c r="E33" i="16"/>
  <c r="E32" i="16"/>
  <c r="E27" i="16"/>
  <c r="E26" i="16"/>
  <c r="E25" i="16"/>
  <c r="E22" i="16"/>
  <c r="E21" i="16"/>
  <c r="E18" i="16"/>
  <c r="N18" i="16" s="1"/>
  <c r="E17" i="16"/>
  <c r="E16" i="16"/>
  <c r="L15" i="16"/>
  <c r="E15" i="16"/>
  <c r="E14" i="16"/>
  <c r="L13" i="16"/>
  <c r="E13" i="16"/>
  <c r="L12" i="16"/>
  <c r="E12" i="16"/>
  <c r="E8" i="16"/>
  <c r="E7" i="16"/>
  <c r="E6" i="16"/>
  <c r="F109" i="15"/>
  <c r="L95" i="15"/>
  <c r="L96" i="15" s="1"/>
  <c r="E95" i="15"/>
  <c r="K95" i="15" s="1"/>
  <c r="F94" i="15"/>
  <c r="M94" i="15" s="1"/>
  <c r="E94" i="15"/>
  <c r="E93" i="15"/>
  <c r="F93" i="15" s="1"/>
  <c r="M93" i="15" s="1"/>
  <c r="F92" i="15"/>
  <c r="E92" i="15"/>
  <c r="E91" i="15"/>
  <c r="L89" i="15"/>
  <c r="L87" i="15"/>
  <c r="E87" i="15"/>
  <c r="M87" i="15" s="1"/>
  <c r="M86" i="15"/>
  <c r="M85" i="15"/>
  <c r="L81" i="15"/>
  <c r="E81" i="15"/>
  <c r="F80" i="15"/>
  <c r="M80" i="15" s="1"/>
  <c r="F79" i="15"/>
  <c r="M79" i="15" s="1"/>
  <c r="F78" i="15"/>
  <c r="M78" i="15" s="1"/>
  <c r="F77" i="15"/>
  <c r="F81" i="15" s="1"/>
  <c r="M81" i="15" s="1"/>
  <c r="E77" i="15"/>
  <c r="M76" i="15"/>
  <c r="L74" i="15"/>
  <c r="F74" i="15"/>
  <c r="M74" i="15" s="1"/>
  <c r="E74" i="15"/>
  <c r="M73" i="15"/>
  <c r="M72" i="15"/>
  <c r="L70" i="15"/>
  <c r="E70" i="15"/>
  <c r="F69" i="15"/>
  <c r="M69" i="15" s="1"/>
  <c r="F68" i="15"/>
  <c r="L66" i="15"/>
  <c r="F65" i="15"/>
  <c r="E65" i="15"/>
  <c r="F64" i="15"/>
  <c r="M64" i="15" s="1"/>
  <c r="F63" i="15"/>
  <c r="E63" i="15"/>
  <c r="M63" i="15" s="1"/>
  <c r="F62" i="15"/>
  <c r="E62" i="15"/>
  <c r="F61" i="15"/>
  <c r="E61" i="15"/>
  <c r="E66" i="15" s="1"/>
  <c r="L59" i="15"/>
  <c r="E59" i="15"/>
  <c r="F58" i="15"/>
  <c r="E58" i="15"/>
  <c r="E57" i="15"/>
  <c r="M57" i="15" s="1"/>
  <c r="F56" i="15"/>
  <c r="E56" i="15"/>
  <c r="M56" i="15" s="1"/>
  <c r="F55" i="15"/>
  <c r="E55" i="15"/>
  <c r="F54" i="15"/>
  <c r="F59" i="15" s="1"/>
  <c r="E54" i="15"/>
  <c r="M54" i="15" s="1"/>
  <c r="L51" i="15"/>
  <c r="F50" i="15"/>
  <c r="E50" i="15"/>
  <c r="F49" i="15"/>
  <c r="M49" i="15" s="1"/>
  <c r="E49" i="15"/>
  <c r="F48" i="15"/>
  <c r="F51" i="15" s="1"/>
  <c r="M51" i="15" s="1"/>
  <c r="E48" i="15"/>
  <c r="L44" i="15"/>
  <c r="F43" i="15"/>
  <c r="E43" i="15"/>
  <c r="F42" i="15"/>
  <c r="E42" i="15"/>
  <c r="M42" i="15" s="1"/>
  <c r="F41" i="15"/>
  <c r="M41" i="15" s="1"/>
  <c r="F40" i="15"/>
  <c r="M40" i="15" s="1"/>
  <c r="E40" i="15"/>
  <c r="F39" i="15"/>
  <c r="E39" i="15"/>
  <c r="F38" i="15"/>
  <c r="M38" i="15" s="1"/>
  <c r="E38" i="15"/>
  <c r="M37" i="15"/>
  <c r="F37" i="15"/>
  <c r="M36" i="15"/>
  <c r="F36" i="15"/>
  <c r="M35" i="15"/>
  <c r="F35" i="15"/>
  <c r="M34" i="15"/>
  <c r="F34" i="15"/>
  <c r="F33" i="15"/>
  <c r="F44" i="15" s="1"/>
  <c r="E33" i="15"/>
  <c r="F28" i="15"/>
  <c r="M28" i="15" s="1"/>
  <c r="F27" i="15"/>
  <c r="E27" i="15"/>
  <c r="F26" i="15"/>
  <c r="E26" i="15"/>
  <c r="L24" i="15"/>
  <c r="E24" i="15"/>
  <c r="F23" i="15"/>
  <c r="M23" i="15" s="1"/>
  <c r="F22" i="15"/>
  <c r="F24" i="15" s="1"/>
  <c r="M24" i="15" s="1"/>
  <c r="E22" i="15"/>
  <c r="L20" i="15"/>
  <c r="F19" i="15"/>
  <c r="E19" i="15"/>
  <c r="M19" i="15" s="1"/>
  <c r="F18" i="15"/>
  <c r="E18" i="15"/>
  <c r="F17" i="15"/>
  <c r="E17" i="15"/>
  <c r="M17" i="15" s="1"/>
  <c r="F16" i="15"/>
  <c r="E16" i="15"/>
  <c r="F15" i="15"/>
  <c r="E15" i="15"/>
  <c r="M15" i="15" s="1"/>
  <c r="F14" i="15"/>
  <c r="E14" i="15"/>
  <c r="F13" i="15"/>
  <c r="E13" i="15"/>
  <c r="E20" i="15" s="1"/>
  <c r="L10" i="15"/>
  <c r="F9" i="15"/>
  <c r="M9" i="15" s="1"/>
  <c r="F8" i="15"/>
  <c r="M8" i="15" s="1"/>
  <c r="F7" i="15"/>
  <c r="E7" i="15"/>
  <c r="E10" i="15" s="1"/>
  <c r="K2" i="15"/>
  <c r="H2" i="15"/>
  <c r="O88" i="15" l="1"/>
  <c r="F10" i="15"/>
  <c r="F30" i="15" s="1"/>
  <c r="F20" i="15"/>
  <c r="M16" i="15"/>
  <c r="M18" i="15"/>
  <c r="E44" i="15"/>
  <c r="M44" i="15" s="1"/>
  <c r="M39" i="15"/>
  <c r="M43" i="15"/>
  <c r="M48" i="15"/>
  <c r="M50" i="15"/>
  <c r="M55" i="15"/>
  <c r="M58" i="15"/>
  <c r="F66" i="15"/>
  <c r="M62" i="15"/>
  <c r="M65" i="15"/>
  <c r="F70" i="15"/>
  <c r="M70" i="15" s="1"/>
  <c r="E96" i="15"/>
  <c r="M92" i="15"/>
  <c r="E23" i="16"/>
  <c r="L23" i="16" s="1"/>
  <c r="E85" i="16"/>
  <c r="L85" i="16" s="1"/>
  <c r="N92" i="16"/>
  <c r="L98" i="15"/>
  <c r="D111" i="14"/>
  <c r="F114" i="20"/>
  <c r="C119" i="19"/>
  <c r="C111" i="19"/>
  <c r="G101" i="18"/>
  <c r="G28" i="18"/>
  <c r="H95" i="18"/>
  <c r="H80" i="18"/>
  <c r="F80" i="18"/>
  <c r="F86" i="18" s="1"/>
  <c r="H8" i="18"/>
  <c r="H57" i="18"/>
  <c r="H94" i="18"/>
  <c r="N26" i="16"/>
  <c r="E43" i="16"/>
  <c r="L43" i="16" s="1"/>
  <c r="E68" i="16"/>
  <c r="E72" i="16"/>
  <c r="L72" i="16" s="1"/>
  <c r="N14" i="16"/>
  <c r="E9" i="16"/>
  <c r="N36" i="16"/>
  <c r="N38" i="16"/>
  <c r="N40" i="16"/>
  <c r="N42" i="16"/>
  <c r="E79" i="16"/>
  <c r="L79" i="16" s="1"/>
  <c r="N77" i="16"/>
  <c r="E94" i="16"/>
  <c r="E19" i="16"/>
  <c r="N37" i="16"/>
  <c r="N39" i="16"/>
  <c r="N41" i="16"/>
  <c r="E49" i="16"/>
  <c r="L49" i="16" s="1"/>
  <c r="E64" i="16"/>
  <c r="L64" i="16" s="1"/>
  <c r="N16" i="16"/>
  <c r="N25" i="16"/>
  <c r="N53" i="16"/>
  <c r="E28" i="16"/>
  <c r="L28" i="16" s="1"/>
  <c r="E57" i="16"/>
  <c r="L57" i="16" s="1"/>
  <c r="N66" i="16"/>
  <c r="F29" i="15"/>
  <c r="M29" i="15" s="1"/>
  <c r="M26" i="15"/>
  <c r="M10" i="15"/>
  <c r="M59" i="15"/>
  <c r="E97" i="15"/>
  <c r="E30" i="15"/>
  <c r="E88" i="15" s="1"/>
  <c r="M20" i="15"/>
  <c r="M66" i="15"/>
  <c r="M13" i="15"/>
  <c r="M7" i="15"/>
  <c r="M14" i="15"/>
  <c r="M22" i="15"/>
  <c r="M27" i="15"/>
  <c r="M68" i="15"/>
  <c r="M77" i="15"/>
  <c r="F91" i="15"/>
  <c r="F95" i="15"/>
  <c r="M95" i="15" s="1"/>
  <c r="M33" i="15"/>
  <c r="M61" i="15"/>
  <c r="N86" i="16" l="1"/>
  <c r="F82" i="15"/>
  <c r="F87" i="18"/>
  <c r="F96" i="18" s="1"/>
  <c r="H28" i="18"/>
  <c r="G86" i="18"/>
  <c r="N68" i="16"/>
  <c r="N94" i="16"/>
  <c r="L94" i="16" s="1"/>
  <c r="L9" i="16"/>
  <c r="E86" i="16"/>
  <c r="E96" i="16" s="1"/>
  <c r="L68" i="16"/>
  <c r="N19" i="16"/>
  <c r="L19" i="16" s="1"/>
  <c r="F96" i="15"/>
  <c r="M91" i="15"/>
  <c r="E98" i="15"/>
  <c r="F88" i="15"/>
  <c r="O90" i="15" s="1"/>
  <c r="M30" i="15"/>
  <c r="G87" i="18" l="1"/>
  <c r="G96" i="18" s="1"/>
  <c r="H96" i="18" s="1"/>
  <c r="N87" i="16"/>
  <c r="F89" i="15"/>
  <c r="M89" i="15" s="1"/>
  <c r="M88" i="15"/>
  <c r="M96" i="15"/>
  <c r="F97" i="15"/>
  <c r="O96" i="15"/>
  <c r="L86" i="16" l="1"/>
  <c r="N96" i="16"/>
  <c r="L96" i="16" s="1"/>
  <c r="F98" i="15"/>
  <c r="M98" i="15" l="1"/>
  <c r="F101" i="15"/>
  <c r="H109" i="14" l="1"/>
  <c r="C102" i="14"/>
  <c r="H98" i="14"/>
  <c r="G98" i="14"/>
  <c r="G93" i="14"/>
  <c r="H93" i="14" s="1"/>
  <c r="F93" i="14"/>
  <c r="G92" i="14"/>
  <c r="F92" i="14"/>
  <c r="G91" i="14"/>
  <c r="H91" i="14" s="1"/>
  <c r="F91" i="14"/>
  <c r="G90" i="14"/>
  <c r="F90" i="14"/>
  <c r="G89" i="14"/>
  <c r="G94" i="14" s="1"/>
  <c r="F89" i="14"/>
  <c r="G84" i="14"/>
  <c r="H84" i="14" s="1"/>
  <c r="F84" i="14"/>
  <c r="G83" i="14"/>
  <c r="G85" i="14" s="1"/>
  <c r="F83" i="14"/>
  <c r="F85" i="14" s="1"/>
  <c r="G78" i="14"/>
  <c r="H78" i="14" s="1"/>
  <c r="F78" i="14"/>
  <c r="G77" i="14"/>
  <c r="F77" i="14"/>
  <c r="G76" i="14"/>
  <c r="H76" i="14" s="1"/>
  <c r="F76" i="14"/>
  <c r="G75" i="14"/>
  <c r="F75" i="14"/>
  <c r="G74" i="14"/>
  <c r="G79" i="14" s="1"/>
  <c r="F74" i="14"/>
  <c r="G71" i="14"/>
  <c r="H71" i="14" s="1"/>
  <c r="F71" i="14"/>
  <c r="G70" i="14"/>
  <c r="G72" i="14" s="1"/>
  <c r="F70" i="14"/>
  <c r="F72" i="14" s="1"/>
  <c r="G67" i="14"/>
  <c r="F67" i="14"/>
  <c r="G66" i="14"/>
  <c r="H66" i="14" s="1"/>
  <c r="F66" i="14"/>
  <c r="F68" i="14" s="1"/>
  <c r="G63" i="14"/>
  <c r="H63" i="14" s="1"/>
  <c r="F63" i="14"/>
  <c r="G62" i="14"/>
  <c r="F62" i="14"/>
  <c r="G61" i="14"/>
  <c r="H61" i="14" s="1"/>
  <c r="F61" i="14"/>
  <c r="G60" i="14"/>
  <c r="F60" i="14"/>
  <c r="G59" i="14"/>
  <c r="G64" i="14" s="1"/>
  <c r="F59" i="14"/>
  <c r="G56" i="14"/>
  <c r="H56" i="14" s="1"/>
  <c r="F56" i="14"/>
  <c r="G55" i="14"/>
  <c r="F55" i="14"/>
  <c r="G54" i="14"/>
  <c r="H54" i="14" s="1"/>
  <c r="F54" i="14"/>
  <c r="G53" i="14"/>
  <c r="F53" i="14"/>
  <c r="G52" i="14"/>
  <c r="G57" i="14" s="1"/>
  <c r="F52" i="14"/>
  <c r="G48" i="14"/>
  <c r="H48" i="14" s="1"/>
  <c r="F48" i="14"/>
  <c r="G47" i="14"/>
  <c r="F47" i="14"/>
  <c r="G46" i="14"/>
  <c r="G49" i="14" s="1"/>
  <c r="F46" i="14"/>
  <c r="G41" i="14"/>
  <c r="H41" i="14" s="1"/>
  <c r="F41" i="14"/>
  <c r="G40" i="14"/>
  <c r="F40" i="14"/>
  <c r="G39" i="14"/>
  <c r="H39" i="14" s="1"/>
  <c r="F39" i="14"/>
  <c r="G38" i="14"/>
  <c r="F38" i="14"/>
  <c r="G37" i="14"/>
  <c r="H37" i="14" s="1"/>
  <c r="F37" i="14"/>
  <c r="G36" i="14"/>
  <c r="F36" i="14"/>
  <c r="G35" i="14"/>
  <c r="H35" i="14" s="1"/>
  <c r="F35" i="14"/>
  <c r="G34" i="14"/>
  <c r="F34" i="14"/>
  <c r="G33" i="14"/>
  <c r="H33" i="14" s="1"/>
  <c r="F33" i="14"/>
  <c r="G32" i="14"/>
  <c r="F32" i="14"/>
  <c r="G31" i="14"/>
  <c r="G42" i="14" s="1"/>
  <c r="F31" i="14"/>
  <c r="G26" i="14"/>
  <c r="F26" i="14"/>
  <c r="G25" i="14"/>
  <c r="H25" i="14" s="1"/>
  <c r="F25" i="14"/>
  <c r="G24" i="14"/>
  <c r="F24" i="14"/>
  <c r="F27" i="14" s="1"/>
  <c r="G21" i="14"/>
  <c r="F21" i="14"/>
  <c r="G20" i="14"/>
  <c r="H20" i="14" s="1"/>
  <c r="F20" i="14"/>
  <c r="F22" i="14" s="1"/>
  <c r="G17" i="14"/>
  <c r="H17" i="14" s="1"/>
  <c r="F17" i="14"/>
  <c r="G16" i="14"/>
  <c r="F16" i="14"/>
  <c r="G15" i="14"/>
  <c r="H15" i="14" s="1"/>
  <c r="F15" i="14"/>
  <c r="G14" i="14"/>
  <c r="F14" i="14"/>
  <c r="G13" i="14"/>
  <c r="H13" i="14" s="1"/>
  <c r="F13" i="14"/>
  <c r="G12" i="14"/>
  <c r="F12" i="14"/>
  <c r="G11" i="14"/>
  <c r="G18" i="14" s="1"/>
  <c r="F11" i="14"/>
  <c r="G7" i="14"/>
  <c r="H7" i="14" s="1"/>
  <c r="F7" i="14"/>
  <c r="G6" i="14"/>
  <c r="F6" i="14"/>
  <c r="G5" i="14"/>
  <c r="G8" i="14" s="1"/>
  <c r="F5" i="14"/>
  <c r="F1" i="14"/>
  <c r="F8" i="14" l="1"/>
  <c r="F28" i="14" s="1"/>
  <c r="F18" i="14"/>
  <c r="H14" i="14"/>
  <c r="H16" i="14"/>
  <c r="H21" i="14"/>
  <c r="H26" i="14"/>
  <c r="F42" i="14"/>
  <c r="H34" i="14"/>
  <c r="H36" i="14"/>
  <c r="H38" i="14"/>
  <c r="H40" i="14"/>
  <c r="F49" i="14"/>
  <c r="F57" i="14"/>
  <c r="H55" i="14"/>
  <c r="F64" i="14"/>
  <c r="H64" i="14" s="1"/>
  <c r="H62" i="14"/>
  <c r="H67" i="14"/>
  <c r="F79" i="14"/>
  <c r="H77" i="14"/>
  <c r="F94" i="14"/>
  <c r="F95" i="14" s="1"/>
  <c r="H92" i="14"/>
  <c r="H99" i="14"/>
  <c r="G103" i="14" s="1"/>
  <c r="H104" i="14" s="1"/>
  <c r="H79" i="14"/>
  <c r="H85" i="14"/>
  <c r="G95" i="14"/>
  <c r="H95" i="14" s="1"/>
  <c r="H94" i="14"/>
  <c r="G111" i="14"/>
  <c r="G113" i="14"/>
  <c r="H8" i="14"/>
  <c r="H18" i="14"/>
  <c r="H42" i="14"/>
  <c r="H49" i="14"/>
  <c r="H57" i="14"/>
  <c r="H72" i="14"/>
  <c r="H6" i="14"/>
  <c r="H12" i="14"/>
  <c r="G22" i="14"/>
  <c r="H22" i="14" s="1"/>
  <c r="H24" i="14"/>
  <c r="G27" i="14"/>
  <c r="H32" i="14"/>
  <c r="H47" i="14"/>
  <c r="H53" i="14"/>
  <c r="H60" i="14"/>
  <c r="G68" i="14"/>
  <c r="H68" i="14" s="1"/>
  <c r="H70" i="14"/>
  <c r="H75" i="14"/>
  <c r="H83" i="14"/>
  <c r="H90" i="14"/>
  <c r="H5" i="14"/>
  <c r="H11" i="14"/>
  <c r="H31" i="14"/>
  <c r="H46" i="14"/>
  <c r="H52" i="14"/>
  <c r="H59" i="14"/>
  <c r="H74" i="14"/>
  <c r="H89" i="14"/>
  <c r="F80" i="14" l="1"/>
  <c r="F86" i="14"/>
  <c r="G101" i="14"/>
  <c r="G80" i="14"/>
  <c r="G28" i="14"/>
  <c r="H28" i="14" s="1"/>
  <c r="H27" i="14"/>
  <c r="F87" i="14" l="1"/>
  <c r="F96" i="14" s="1"/>
  <c r="H80" i="14"/>
  <c r="G86" i="14"/>
  <c r="G87" i="14" l="1"/>
  <c r="G96" i="14" s="1"/>
  <c r="H96" i="14" s="1"/>
  <c r="E87" i="10" l="1"/>
  <c r="E86" i="10"/>
  <c r="E85" i="10"/>
  <c r="E84" i="10"/>
  <c r="E83" i="10"/>
  <c r="F81" i="10"/>
  <c r="E78" i="10"/>
  <c r="E77" i="10"/>
  <c r="E74" i="10"/>
  <c r="E73" i="10"/>
  <c r="E72" i="10"/>
  <c r="E71" i="10"/>
  <c r="E70" i="10"/>
  <c r="E67" i="10"/>
  <c r="E66" i="10"/>
  <c r="E63" i="10"/>
  <c r="E62" i="10"/>
  <c r="E59" i="10"/>
  <c r="E58" i="10"/>
  <c r="E57" i="10"/>
  <c r="E56" i="10"/>
  <c r="E55" i="10"/>
  <c r="E52" i="10"/>
  <c r="E51" i="10"/>
  <c r="E50" i="10"/>
  <c r="E49" i="10"/>
  <c r="E48" i="10"/>
  <c r="E44" i="10"/>
  <c r="E43" i="10"/>
  <c r="E42" i="10"/>
  <c r="E38" i="10"/>
  <c r="E37" i="10"/>
  <c r="E36" i="10"/>
  <c r="E35" i="10"/>
  <c r="E34" i="10"/>
  <c r="E33" i="10"/>
  <c r="E32" i="10"/>
  <c r="E31" i="10"/>
  <c r="E30" i="10"/>
  <c r="E29" i="10"/>
  <c r="E28" i="10"/>
  <c r="E25" i="10"/>
  <c r="E24" i="10"/>
  <c r="E23" i="10"/>
  <c r="E20" i="10"/>
  <c r="E19" i="10"/>
  <c r="E16" i="10"/>
  <c r="E15" i="10"/>
  <c r="E14" i="10"/>
  <c r="E13" i="10"/>
  <c r="E12" i="10"/>
  <c r="E11" i="10"/>
  <c r="E10" i="10"/>
  <c r="E7" i="10"/>
  <c r="E6" i="10"/>
  <c r="E5" i="10"/>
  <c r="E17" i="10" l="1"/>
  <c r="E39" i="10"/>
  <c r="E53" i="10"/>
  <c r="E64" i="10"/>
  <c r="E68" i="10"/>
  <c r="E75" i="10"/>
  <c r="E88" i="10"/>
  <c r="E8" i="10"/>
  <c r="E21" i="10"/>
  <c r="E26" i="10"/>
  <c r="E45" i="10"/>
  <c r="E60" i="10"/>
  <c r="E79" i="10"/>
  <c r="E80" i="10" l="1"/>
  <c r="F109" i="5" l="1"/>
  <c r="G93" i="8" l="1"/>
  <c r="G92" i="8"/>
  <c r="H92" i="8" s="1"/>
  <c r="G91" i="8"/>
  <c r="H91" i="8" s="1"/>
  <c r="G90" i="8"/>
  <c r="G83" i="8"/>
  <c r="G89" i="8"/>
  <c r="H89" i="8" s="1"/>
  <c r="H109" i="8"/>
  <c r="C102" i="8"/>
  <c r="H98" i="8"/>
  <c r="H99" i="8" s="1"/>
  <c r="G98" i="8"/>
  <c r="F93" i="8"/>
  <c r="F92" i="8"/>
  <c r="F91" i="8"/>
  <c r="F90" i="8"/>
  <c r="F94" i="8" s="1"/>
  <c r="F95" i="8" s="1"/>
  <c r="F89" i="8"/>
  <c r="G84" i="8"/>
  <c r="H84" i="8" s="1"/>
  <c r="F84" i="8"/>
  <c r="H83" i="8"/>
  <c r="F83" i="8"/>
  <c r="F85" i="8" s="1"/>
  <c r="G78" i="8"/>
  <c r="H78" i="8" s="1"/>
  <c r="F78" i="8"/>
  <c r="G77" i="8"/>
  <c r="H77" i="8" s="1"/>
  <c r="F77" i="8"/>
  <c r="G76" i="8"/>
  <c r="H76" i="8" s="1"/>
  <c r="F76" i="8"/>
  <c r="G75" i="8"/>
  <c r="H75" i="8" s="1"/>
  <c r="F75" i="8"/>
  <c r="G74" i="8"/>
  <c r="G79" i="8" s="1"/>
  <c r="F74" i="8"/>
  <c r="F79" i="8" s="1"/>
  <c r="G71" i="8"/>
  <c r="F71" i="8"/>
  <c r="G70" i="8"/>
  <c r="F70" i="8"/>
  <c r="F72" i="8" s="1"/>
  <c r="G67" i="8"/>
  <c r="G68" i="8" s="1"/>
  <c r="F67" i="8"/>
  <c r="G66" i="8"/>
  <c r="F66" i="8"/>
  <c r="H66" i="8" s="1"/>
  <c r="G63" i="8"/>
  <c r="H63" i="8" s="1"/>
  <c r="F63" i="8"/>
  <c r="G62" i="8"/>
  <c r="H62" i="8" s="1"/>
  <c r="F62" i="8"/>
  <c r="G61" i="8"/>
  <c r="H61" i="8" s="1"/>
  <c r="F61" i="8"/>
  <c r="G60" i="8"/>
  <c r="H60" i="8" s="1"/>
  <c r="F60" i="8"/>
  <c r="G59" i="8"/>
  <c r="G64" i="8" s="1"/>
  <c r="F59" i="8"/>
  <c r="F64" i="8" s="1"/>
  <c r="G56" i="8"/>
  <c r="F56" i="8"/>
  <c r="G55" i="8"/>
  <c r="F55" i="8"/>
  <c r="G54" i="8"/>
  <c r="F54" i="8"/>
  <c r="F57" i="8" s="1"/>
  <c r="G53" i="8"/>
  <c r="H53" i="8" s="1"/>
  <c r="F53" i="8"/>
  <c r="G52" i="8"/>
  <c r="G57" i="8" s="1"/>
  <c r="F52" i="8"/>
  <c r="G48" i="8"/>
  <c r="F48" i="8"/>
  <c r="G47" i="8"/>
  <c r="F47" i="8"/>
  <c r="G46" i="8"/>
  <c r="F46" i="8"/>
  <c r="F49" i="8" s="1"/>
  <c r="G41" i="8"/>
  <c r="H41" i="8" s="1"/>
  <c r="F41" i="8"/>
  <c r="G40" i="8"/>
  <c r="H40" i="8" s="1"/>
  <c r="F40" i="8"/>
  <c r="G39" i="8"/>
  <c r="H39" i="8" s="1"/>
  <c r="F39" i="8"/>
  <c r="G38" i="8"/>
  <c r="H38" i="8" s="1"/>
  <c r="F38" i="8"/>
  <c r="G37" i="8"/>
  <c r="H37" i="8" s="1"/>
  <c r="F37" i="8"/>
  <c r="G36" i="8"/>
  <c r="H36" i="8" s="1"/>
  <c r="F36" i="8"/>
  <c r="G35" i="8"/>
  <c r="F35" i="8"/>
  <c r="G34" i="8"/>
  <c r="H34" i="8" s="1"/>
  <c r="F34" i="8"/>
  <c r="G33" i="8"/>
  <c r="H33" i="8" s="1"/>
  <c r="F33" i="8"/>
  <c r="G32" i="8"/>
  <c r="F32" i="8"/>
  <c r="H32" i="8" s="1"/>
  <c r="G31" i="8"/>
  <c r="F31" i="8"/>
  <c r="F42" i="8" s="1"/>
  <c r="G26" i="8"/>
  <c r="F26" i="8"/>
  <c r="G25" i="8"/>
  <c r="H25" i="8" s="1"/>
  <c r="F25" i="8"/>
  <c r="G24" i="8"/>
  <c r="F24" i="8"/>
  <c r="F27" i="8" s="1"/>
  <c r="G21" i="8"/>
  <c r="H21" i="8" s="1"/>
  <c r="F21" i="8"/>
  <c r="G20" i="8"/>
  <c r="H20" i="8" s="1"/>
  <c r="F20" i="8"/>
  <c r="F22" i="8" s="1"/>
  <c r="G17" i="8"/>
  <c r="H17" i="8" s="1"/>
  <c r="F17" i="8"/>
  <c r="G16" i="8"/>
  <c r="F16" i="8"/>
  <c r="G15" i="8"/>
  <c r="F15" i="8"/>
  <c r="H15" i="8" s="1"/>
  <c r="G14" i="8"/>
  <c r="H14" i="8" s="1"/>
  <c r="F14" i="8"/>
  <c r="G13" i="8"/>
  <c r="F13" i="8"/>
  <c r="H13" i="8" s="1"/>
  <c r="G12" i="8"/>
  <c r="H12" i="8" s="1"/>
  <c r="F12" i="8"/>
  <c r="G11" i="8"/>
  <c r="F11" i="8"/>
  <c r="F18" i="8" s="1"/>
  <c r="G7" i="8"/>
  <c r="H7" i="8" s="1"/>
  <c r="F7" i="8"/>
  <c r="G6" i="8"/>
  <c r="F6" i="8"/>
  <c r="G5" i="8"/>
  <c r="F5" i="8"/>
  <c r="F8" i="8" s="1"/>
  <c r="F28" i="8" s="1"/>
  <c r="F1" i="8"/>
  <c r="L95" i="5"/>
  <c r="L96" i="5" s="1"/>
  <c r="K95" i="5"/>
  <c r="E95" i="5"/>
  <c r="F95" i="5" s="1"/>
  <c r="M95" i="5" s="1"/>
  <c r="M94" i="5"/>
  <c r="E94" i="5"/>
  <c r="F94" i="5" s="1"/>
  <c r="F93" i="5"/>
  <c r="E93" i="5"/>
  <c r="F92" i="5"/>
  <c r="E92" i="5"/>
  <c r="E96" i="5" s="1"/>
  <c r="E97" i="5" s="1"/>
  <c r="F91" i="5"/>
  <c r="M91" i="5" s="1"/>
  <c r="E91" i="5"/>
  <c r="L89" i="5"/>
  <c r="L98" i="5" s="1"/>
  <c r="L87" i="5"/>
  <c r="E87" i="5"/>
  <c r="M87" i="5" s="1"/>
  <c r="M86" i="5"/>
  <c r="M85" i="5"/>
  <c r="L81" i="5"/>
  <c r="E81" i="5"/>
  <c r="F80" i="5"/>
  <c r="M80" i="5" s="1"/>
  <c r="F79" i="5"/>
  <c r="M79" i="5" s="1"/>
  <c r="F78" i="5"/>
  <c r="M78" i="5" s="1"/>
  <c r="F77" i="5"/>
  <c r="F81" i="5" s="1"/>
  <c r="M81" i="5" s="1"/>
  <c r="E77" i="5"/>
  <c r="M76" i="5"/>
  <c r="L74" i="5"/>
  <c r="F74" i="5"/>
  <c r="M74" i="5" s="1"/>
  <c r="E74" i="5"/>
  <c r="M73" i="5"/>
  <c r="M72" i="5"/>
  <c r="L70" i="5"/>
  <c r="E70" i="5"/>
  <c r="F69" i="5"/>
  <c r="M69" i="5" s="1"/>
  <c r="F68" i="5"/>
  <c r="F70" i="5" s="1"/>
  <c r="M70" i="5" s="1"/>
  <c r="L66" i="5"/>
  <c r="F65" i="5"/>
  <c r="E65" i="5"/>
  <c r="M65" i="5" s="1"/>
  <c r="F64" i="5"/>
  <c r="M64" i="5" s="1"/>
  <c r="F63" i="5"/>
  <c r="M63" i="5" s="1"/>
  <c r="E63" i="5"/>
  <c r="F62" i="5"/>
  <c r="E62" i="5"/>
  <c r="M62" i="5" s="1"/>
  <c r="F61" i="5"/>
  <c r="F66" i="5" s="1"/>
  <c r="M66" i="5" s="1"/>
  <c r="E61" i="5"/>
  <c r="E66" i="5" s="1"/>
  <c r="L59" i="5"/>
  <c r="F58" i="5"/>
  <c r="M58" i="5" s="1"/>
  <c r="E58" i="5"/>
  <c r="M57" i="5"/>
  <c r="E57" i="5"/>
  <c r="F56" i="5"/>
  <c r="E56" i="5"/>
  <c r="M56" i="5" s="1"/>
  <c r="F55" i="5"/>
  <c r="E55" i="5"/>
  <c r="F54" i="5"/>
  <c r="E54" i="5"/>
  <c r="E59" i="5" s="1"/>
  <c r="L51" i="5"/>
  <c r="F50" i="5"/>
  <c r="M50" i="5" s="1"/>
  <c r="E50" i="5"/>
  <c r="F49" i="5"/>
  <c r="E49" i="5"/>
  <c r="M49" i="5" s="1"/>
  <c r="F48" i="5"/>
  <c r="F51" i="5" s="1"/>
  <c r="E48" i="5"/>
  <c r="L44" i="5"/>
  <c r="F43" i="5"/>
  <c r="E43" i="5"/>
  <c r="M43" i="5" s="1"/>
  <c r="F42" i="5"/>
  <c r="M42" i="5" s="1"/>
  <c r="E42" i="5"/>
  <c r="F41" i="5"/>
  <c r="M41" i="5" s="1"/>
  <c r="F40" i="5"/>
  <c r="E40" i="5"/>
  <c r="F39" i="5"/>
  <c r="M39" i="5" s="1"/>
  <c r="E39" i="5"/>
  <c r="F38" i="5"/>
  <c r="E38" i="5"/>
  <c r="M38" i="5" s="1"/>
  <c r="F37" i="5"/>
  <c r="M37" i="5" s="1"/>
  <c r="M36" i="5"/>
  <c r="F36" i="5"/>
  <c r="M35" i="5"/>
  <c r="F35" i="5"/>
  <c r="F34" i="5"/>
  <c r="F33" i="5"/>
  <c r="M33" i="5" s="1"/>
  <c r="E33" i="5"/>
  <c r="E44" i="5" s="1"/>
  <c r="F28" i="5"/>
  <c r="M28" i="5" s="1"/>
  <c r="F27" i="5"/>
  <c r="M27" i="5" s="1"/>
  <c r="E27" i="5"/>
  <c r="F26" i="5"/>
  <c r="F29" i="5" s="1"/>
  <c r="M29" i="5" s="1"/>
  <c r="E26" i="5"/>
  <c r="E29" i="5" s="1"/>
  <c r="L24" i="5"/>
  <c r="F23" i="5"/>
  <c r="F22" i="5"/>
  <c r="M22" i="5" s="1"/>
  <c r="E22" i="5"/>
  <c r="E24" i="5" s="1"/>
  <c r="L20" i="5"/>
  <c r="F19" i="5"/>
  <c r="M19" i="5" s="1"/>
  <c r="E19" i="5"/>
  <c r="F18" i="5"/>
  <c r="E18" i="5"/>
  <c r="M18" i="5" s="1"/>
  <c r="F17" i="5"/>
  <c r="E17" i="5"/>
  <c r="F16" i="5"/>
  <c r="E16" i="5"/>
  <c r="F15" i="5"/>
  <c r="E15" i="5"/>
  <c r="F14" i="5"/>
  <c r="E14" i="5"/>
  <c r="F13" i="5"/>
  <c r="E13" i="5"/>
  <c r="E20" i="5" s="1"/>
  <c r="L10" i="5"/>
  <c r="F9" i="5"/>
  <c r="M9" i="5" s="1"/>
  <c r="F8" i="5"/>
  <c r="F7" i="5"/>
  <c r="E7" i="5"/>
  <c r="E10" i="5" s="1"/>
  <c r="E30" i="5" s="1"/>
  <c r="K2" i="5"/>
  <c r="H2" i="5"/>
  <c r="E93" i="9"/>
  <c r="N93" i="9" s="1"/>
  <c r="E92" i="9"/>
  <c r="E91" i="9"/>
  <c r="E90" i="9"/>
  <c r="E89" i="9"/>
  <c r="F87" i="9"/>
  <c r="E84" i="9"/>
  <c r="E83" i="9"/>
  <c r="E78" i="9"/>
  <c r="E77" i="9"/>
  <c r="E76" i="9"/>
  <c r="E75" i="9"/>
  <c r="E74" i="9"/>
  <c r="E71" i="9"/>
  <c r="E70" i="9"/>
  <c r="E67" i="9"/>
  <c r="E66" i="9"/>
  <c r="E63" i="9"/>
  <c r="E62" i="9"/>
  <c r="E61" i="9"/>
  <c r="E60" i="9"/>
  <c r="E59" i="9"/>
  <c r="E56" i="9"/>
  <c r="E55" i="9"/>
  <c r="E54" i="9"/>
  <c r="E53" i="9"/>
  <c r="E52" i="9"/>
  <c r="E48" i="9"/>
  <c r="E47" i="9"/>
  <c r="E46" i="9"/>
  <c r="E42" i="9"/>
  <c r="E41" i="9"/>
  <c r="E40" i="9"/>
  <c r="E39" i="9"/>
  <c r="E38" i="9"/>
  <c r="E37" i="9"/>
  <c r="E36" i="9"/>
  <c r="E35" i="9"/>
  <c r="E34" i="9"/>
  <c r="E33" i="9"/>
  <c r="E32" i="9"/>
  <c r="E27" i="9"/>
  <c r="E26" i="9"/>
  <c r="E25" i="9"/>
  <c r="E22" i="9"/>
  <c r="E21" i="9"/>
  <c r="E18" i="9"/>
  <c r="E17" i="9"/>
  <c r="E16" i="9"/>
  <c r="E15" i="9"/>
  <c r="E14" i="9"/>
  <c r="E13" i="9"/>
  <c r="E12" i="9"/>
  <c r="E8" i="9"/>
  <c r="E7" i="9"/>
  <c r="E6" i="9"/>
  <c r="M7" i="5" l="1"/>
  <c r="F24" i="5"/>
  <c r="M24" i="5" s="1"/>
  <c r="F44" i="5"/>
  <c r="M44" i="5" s="1"/>
  <c r="E82" i="5"/>
  <c r="M92" i="5"/>
  <c r="N94" i="9"/>
  <c r="N96" i="9"/>
  <c r="F10" i="5"/>
  <c r="M10" i="5" s="1"/>
  <c r="M14" i="5"/>
  <c r="M15" i="5"/>
  <c r="M16" i="5"/>
  <c r="M17" i="5"/>
  <c r="M40" i="5"/>
  <c r="E51" i="5"/>
  <c r="M51" i="5" s="1"/>
  <c r="M48" i="5"/>
  <c r="M61" i="5"/>
  <c r="G27" i="8"/>
  <c r="H27" i="8" s="1"/>
  <c r="H31" i="8"/>
  <c r="H46" i="8"/>
  <c r="H47" i="8"/>
  <c r="H48" i="8"/>
  <c r="H55" i="8"/>
  <c r="H56" i="8"/>
  <c r="F68" i="8"/>
  <c r="F80" i="8" s="1"/>
  <c r="F86" i="8" s="1"/>
  <c r="H70" i="8"/>
  <c r="H71" i="8"/>
  <c r="O88" i="5"/>
  <c r="F96" i="5"/>
  <c r="O96" i="5" s="1"/>
  <c r="G8" i="8"/>
  <c r="H11" i="8"/>
  <c r="H24" i="8"/>
  <c r="H90" i="8"/>
  <c r="E28" i="9"/>
  <c r="M55" i="5"/>
  <c r="F59" i="5"/>
  <c r="M59" i="5" s="1"/>
  <c r="E19" i="9"/>
  <c r="E23" i="9"/>
  <c r="M23" i="5"/>
  <c r="F20" i="5"/>
  <c r="M20" i="5" s="1"/>
  <c r="E72" i="9"/>
  <c r="E68" i="9"/>
  <c r="E49" i="9"/>
  <c r="E64" i="9"/>
  <c r="G94" i="8"/>
  <c r="G72" i="8"/>
  <c r="H67" i="8"/>
  <c r="H52" i="8"/>
  <c r="H57" i="8"/>
  <c r="G42" i="8"/>
  <c r="H42" i="8" s="1"/>
  <c r="H26" i="8"/>
  <c r="G22" i="8"/>
  <c r="H8" i="8"/>
  <c r="H6" i="8"/>
  <c r="E79" i="9"/>
  <c r="E85" i="9"/>
  <c r="E94" i="9"/>
  <c r="E9" i="9"/>
  <c r="E43" i="9"/>
  <c r="E57" i="9"/>
  <c r="F97" i="5"/>
  <c r="M93" i="5"/>
  <c r="M77" i="5"/>
  <c r="M68" i="5"/>
  <c r="F82" i="5"/>
  <c r="M54" i="5"/>
  <c r="M34" i="5"/>
  <c r="M26" i="5"/>
  <c r="M13" i="5"/>
  <c r="F30" i="5"/>
  <c r="M8" i="5"/>
  <c r="H93" i="8"/>
  <c r="G49" i="8"/>
  <c r="H49" i="8" s="1"/>
  <c r="H79" i="8"/>
  <c r="G85" i="8"/>
  <c r="H74" i="8"/>
  <c r="H64" i="8"/>
  <c r="H59" i="8"/>
  <c r="H54" i="8"/>
  <c r="H35" i="8"/>
  <c r="H16" i="8"/>
  <c r="G18" i="8"/>
  <c r="H18" i="8" s="1"/>
  <c r="H5" i="8"/>
  <c r="G103" i="8"/>
  <c r="H104" i="8" s="1"/>
  <c r="G101" i="8"/>
  <c r="G113" i="8"/>
  <c r="G111" i="8"/>
  <c r="F87" i="8" l="1"/>
  <c r="F96" i="8" s="1"/>
  <c r="E88" i="5"/>
  <c r="E98" i="5" s="1"/>
  <c r="M96" i="5"/>
  <c r="L96" i="9"/>
  <c r="E86" i="9"/>
  <c r="E96" i="9" s="1"/>
  <c r="H94" i="8"/>
  <c r="G95" i="8"/>
  <c r="H95" i="8" s="1"/>
  <c r="F88" i="5"/>
  <c r="M30" i="5"/>
  <c r="H85" i="8"/>
  <c r="H68" i="8"/>
  <c r="G28" i="8"/>
  <c r="M88" i="5" l="1"/>
  <c r="F89" i="5"/>
  <c r="F98" i="5" s="1"/>
  <c r="O90" i="5"/>
  <c r="H72" i="8"/>
  <c r="G80" i="8"/>
  <c r="H28" i="8"/>
  <c r="H22" i="8"/>
  <c r="M89" i="5" l="1"/>
  <c r="H80" i="8"/>
  <c r="G86" i="8"/>
  <c r="M98" i="5" l="1"/>
  <c r="F101" i="5"/>
  <c r="G87" i="8"/>
  <c r="G96" i="8" s="1"/>
  <c r="H96" i="8" s="1"/>
  <c r="L29" i="15" l="1"/>
  <c r="L29" i="5"/>
</calcChain>
</file>

<file path=xl/comments1.xml><?xml version="1.0" encoding="utf-8"?>
<comments xmlns="http://schemas.openxmlformats.org/spreadsheetml/2006/main">
  <authors>
    <author>AMLA-CAMEROUN</author>
  </authors>
  <commentList>
    <comment ref="C68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une pièce à completer
</t>
        </r>
      </text>
    </comment>
  </commentList>
</comments>
</file>

<file path=xl/comments2.xml><?xml version="1.0" encoding="utf-8"?>
<comments xmlns="http://schemas.openxmlformats.org/spreadsheetml/2006/main">
  <authors>
    <author>AMLA-CAMEROUN</author>
  </authors>
  <commentList>
    <comment ref="H111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ORDRE DE SERVICE
+AVENANT TTRAVAUX SUPP ET PROLONGATION DELAIS</t>
        </r>
      </text>
    </comment>
  </commentList>
</comments>
</file>

<file path=xl/comments3.xml><?xml version="1.0" encoding="utf-8"?>
<comments xmlns="http://schemas.openxmlformats.org/spreadsheetml/2006/main">
  <authors>
    <author>AMLA-CAMEROUN</author>
  </authors>
  <commentList>
    <comment ref="C68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une pièce à completer
</t>
        </r>
      </text>
    </comment>
  </commentList>
</comments>
</file>

<file path=xl/comments4.xml><?xml version="1.0" encoding="utf-8"?>
<comments xmlns="http://schemas.openxmlformats.org/spreadsheetml/2006/main">
  <authors>
    <author>AMLA-CAMEROUN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Ouvrés
</t>
        </r>
      </text>
    </comment>
  </commentList>
</comments>
</file>

<file path=xl/sharedStrings.xml><?xml version="1.0" encoding="utf-8"?>
<sst xmlns="http://schemas.openxmlformats.org/spreadsheetml/2006/main" count="1056" uniqueCount="252">
  <si>
    <t>Code Art</t>
  </si>
  <si>
    <t>QTE</t>
  </si>
  <si>
    <t>LIBELLE</t>
  </si>
  <si>
    <t>P.U</t>
  </si>
  <si>
    <t>1/MATERIELS POUR FLUIDE</t>
  </si>
  <si>
    <t>1.a)Matériels de remplissage</t>
  </si>
  <si>
    <t>Séparation 24 m3/h</t>
  </si>
  <si>
    <t>Ensemble de chargement</t>
  </si>
  <si>
    <t>sous-total 1.a)</t>
  </si>
  <si>
    <t>1.b)Matériels de Comptage</t>
  </si>
  <si>
    <t>jauge étalon 1000 l</t>
  </si>
  <si>
    <t>jauge étalon 50 l</t>
  </si>
  <si>
    <t>jauge étalon 30 l</t>
  </si>
  <si>
    <t>jauge étalon 20 l</t>
  </si>
  <si>
    <t>jauge étalon 10 l</t>
  </si>
  <si>
    <t>Sabre métrologique</t>
  </si>
  <si>
    <t>sous-total 1.b)</t>
  </si>
  <si>
    <t>1.c)Matériel de vidange</t>
  </si>
  <si>
    <t>pompes + flexibles</t>
  </si>
  <si>
    <t>sous-total 1.c)</t>
  </si>
  <si>
    <t>1.d)Matériel d"inspection</t>
  </si>
  <si>
    <t>jeu de miroir</t>
  </si>
  <si>
    <t>Miroir sur roue</t>
  </si>
  <si>
    <t>Explosimètre</t>
  </si>
  <si>
    <t>sous-total 1.d)</t>
  </si>
  <si>
    <t>sous-total 1</t>
  </si>
  <si>
    <t>2.Automatisme</t>
  </si>
  <si>
    <t>Editeur code barre</t>
  </si>
  <si>
    <t>Lecteur code barre sans fil</t>
  </si>
  <si>
    <t>Tablet pc durci</t>
  </si>
  <si>
    <t>Serveur impression sécurisé</t>
  </si>
  <si>
    <t>Serveur de GED (Gestion Electronique document)</t>
  </si>
  <si>
    <t>Serveur d'automatisme</t>
  </si>
  <si>
    <t>Serveur professionnel 30p/mn</t>
  </si>
  <si>
    <t>DVR + Serveur vidéo</t>
  </si>
  <si>
    <t>Ecran 42 pouces</t>
  </si>
  <si>
    <t>scanographe</t>
  </si>
  <si>
    <t>sous-total 2</t>
  </si>
  <si>
    <t>3. Informatique</t>
  </si>
  <si>
    <t>Salle serveur</t>
  </si>
  <si>
    <t>Armoire de brassage</t>
  </si>
  <si>
    <t>Armoire Electronique</t>
  </si>
  <si>
    <t>Armoire ondulation</t>
  </si>
  <si>
    <t>sous-total 3</t>
  </si>
  <si>
    <t>4.Sécurité</t>
  </si>
  <si>
    <t>Caméras/pc sécurité</t>
  </si>
  <si>
    <t>Porte sécurisée</t>
  </si>
  <si>
    <t>Système alarme à distance</t>
  </si>
  <si>
    <t>Coffre fort</t>
  </si>
  <si>
    <t>Armoire ignifugées</t>
  </si>
  <si>
    <t>sous-total 4.a)</t>
  </si>
  <si>
    <t>4.b)Sécurités électronique</t>
  </si>
  <si>
    <t>compteurs intelligents</t>
  </si>
  <si>
    <t>système monitoring anti foudre</t>
  </si>
  <si>
    <t>onduleur 1000 VA</t>
  </si>
  <si>
    <t>onduleurs 1500 VA</t>
  </si>
  <si>
    <t>Groupe éléctrogène (7,5 KVA)</t>
  </si>
  <si>
    <t>sous-total 4.b)</t>
  </si>
  <si>
    <t>Extinteur</t>
  </si>
  <si>
    <t>sous-total 4.c)</t>
  </si>
  <si>
    <t>4.d) système anti-débordement</t>
  </si>
  <si>
    <t>Module call Rider</t>
  </si>
  <si>
    <t>Sous-total 4.d)</t>
  </si>
  <si>
    <t>4.e) Protection de la personne</t>
  </si>
  <si>
    <t>Protection antibruit</t>
  </si>
  <si>
    <t>Harnais de protection</t>
  </si>
  <si>
    <t>sous-total 4.e)</t>
  </si>
  <si>
    <t>sous-total 4</t>
  </si>
  <si>
    <t>5. Mobilier de bureau</t>
  </si>
  <si>
    <t>Bureaux</t>
  </si>
  <si>
    <t>sous-total 5</t>
  </si>
  <si>
    <t>Fourniture plan sécurité et analyse des risques</t>
  </si>
  <si>
    <t>Fourniture plan qualité et procédures de métrologie</t>
  </si>
  <si>
    <t>Montage,instalation et Essais</t>
  </si>
  <si>
    <t>Mise en service et formation ,6 semaines</t>
  </si>
  <si>
    <t>Transports locaux et manutention</t>
  </si>
  <si>
    <t>TVA sur prestation locales (19,25%)</t>
  </si>
  <si>
    <t xml:space="preserve">DETAILS QUANTITATIFS ET ESTIMATIFS   DU </t>
  </si>
  <si>
    <t>Montant payable</t>
  </si>
  <si>
    <t>POURCENTAGE GENERAL DES TRAVAUX</t>
  </si>
  <si>
    <t>% d'avancement hebdomadaire</t>
  </si>
  <si>
    <t>% d'avancement  global des travaux</t>
  </si>
  <si>
    <t xml:space="preserve"> Consommation des délais</t>
  </si>
  <si>
    <t>Ancien</t>
  </si>
  <si>
    <t>Nouveau</t>
  </si>
  <si>
    <t>% d'avancement des travaux payable actuel</t>
  </si>
  <si>
    <t>Pourcentage (%)</t>
  </si>
  <si>
    <t>%avancement</t>
  </si>
  <si>
    <t>Pénalité</t>
  </si>
  <si>
    <t>Qté réalisée sur le terrain</t>
  </si>
  <si>
    <t>% avancement des travaux réalisés</t>
  </si>
  <si>
    <t>Nbre de jours consommés</t>
  </si>
  <si>
    <t>4.a)Sécurité phisyque</t>
  </si>
  <si>
    <t>TOTAL</t>
  </si>
  <si>
    <t>Flexicompteurs raccordés + imprimantes</t>
  </si>
  <si>
    <t>Armoire vestiaire</t>
  </si>
  <si>
    <t>vêtement de protection</t>
  </si>
  <si>
    <t>Matériel de premier secours</t>
  </si>
  <si>
    <t>6. PRESTATIONS LOCALES</t>
  </si>
  <si>
    <t>total matières et fournitures importées(val FOB)</t>
  </si>
  <si>
    <t>0.33</t>
  </si>
  <si>
    <t>4.b)Sécurité électrique</t>
  </si>
  <si>
    <t>QUANTITES</t>
  </si>
  <si>
    <t>cumul précedent</t>
  </si>
  <si>
    <t>cumul actuel</t>
  </si>
  <si>
    <t>cumul du mois</t>
  </si>
  <si>
    <t>TOTAL GENERAL</t>
  </si>
  <si>
    <t>ATTACHEMENT DES TRAVAUX REALISES AU</t>
  </si>
  <si>
    <t>TVA sur prestations locales (19,25%)</t>
  </si>
  <si>
    <t>montant prestations locales HTVA</t>
  </si>
  <si>
    <t>code Art</t>
  </si>
  <si>
    <t>LIBELLE DES PRESTATIONS</t>
  </si>
  <si>
    <t>Qté</t>
  </si>
  <si>
    <t>Observation du Maitre d'œuvre</t>
  </si>
  <si>
    <t>Matériels de remplissage</t>
  </si>
  <si>
    <t>MATERIELS POUR FLUIDE</t>
  </si>
  <si>
    <t>1.a)</t>
  </si>
  <si>
    <t>Matériels de Comptage</t>
  </si>
  <si>
    <t>1.b)</t>
  </si>
  <si>
    <t>Matériel de vidange</t>
  </si>
  <si>
    <t>1.c)</t>
  </si>
  <si>
    <t>Matériel d"inspection</t>
  </si>
  <si>
    <t>1.d)</t>
  </si>
  <si>
    <t>SOUS TOTAL 1</t>
  </si>
  <si>
    <t>Automatisme</t>
  </si>
  <si>
    <t>2.</t>
  </si>
  <si>
    <t>SOUS -TOTAL 2</t>
  </si>
  <si>
    <t>Informatique</t>
  </si>
  <si>
    <t xml:space="preserve">3. </t>
  </si>
  <si>
    <t>SOUS -TOTAL 3</t>
  </si>
  <si>
    <t>Sécurité</t>
  </si>
  <si>
    <t>4.</t>
  </si>
  <si>
    <t>Sécurité phisyque</t>
  </si>
  <si>
    <t>4.a)</t>
  </si>
  <si>
    <t>Sécurité électrique</t>
  </si>
  <si>
    <t>4.b)</t>
  </si>
  <si>
    <t>4.c)</t>
  </si>
  <si>
    <t>système anti-débordement</t>
  </si>
  <si>
    <t xml:space="preserve">4.d) </t>
  </si>
  <si>
    <t xml:space="preserve"> Protection de la personne</t>
  </si>
  <si>
    <t>4.e)</t>
  </si>
  <si>
    <t>Mobilier de bureau</t>
  </si>
  <si>
    <t xml:space="preserve">5. </t>
  </si>
  <si>
    <t>PRESTATIONS LOCALES</t>
  </si>
  <si>
    <t xml:space="preserve">6. </t>
  </si>
  <si>
    <t>Montant prestations locales HTVA</t>
  </si>
  <si>
    <t>SOUS-TOTAL 6</t>
  </si>
  <si>
    <t>Prix total</t>
  </si>
  <si>
    <t>Total matières et fournitures importées(val FOB)</t>
  </si>
  <si>
    <t>DECOMPTE DES TRAVAUX REALISES AU</t>
  </si>
  <si>
    <t>MONTANT A FACTURER</t>
  </si>
  <si>
    <t>TOTAL GENERAL DES TRAVAUX</t>
  </si>
  <si>
    <t>AVANCEMENT DES TRAVAUX REALISES AU</t>
  </si>
  <si>
    <t>Flexicompteurs raccordés + impremante</t>
  </si>
  <si>
    <t>Matériels de premier secours</t>
  </si>
  <si>
    <t>Montant</t>
  </si>
  <si>
    <t>Reste de jours</t>
  </si>
  <si>
    <t>% Avancement cumulé au 29/08/13</t>
  </si>
  <si>
    <t>Durée totale du chantier(120jrs)</t>
  </si>
  <si>
    <t>Taxes de douanes sur importations (35%)</t>
  </si>
  <si>
    <t>Pompes de remplissage</t>
  </si>
  <si>
    <t>Séparateurs 24 m3/h</t>
  </si>
  <si>
    <t>Ensembles de chargement</t>
  </si>
  <si>
    <t>Prix unitaire</t>
  </si>
  <si>
    <t>onduleurs 1000 VA</t>
  </si>
  <si>
    <t>Détecteur d'incendie</t>
  </si>
  <si>
    <t>Module tank trak</t>
  </si>
  <si>
    <t>Taxes de douanes sur importation (35%)</t>
  </si>
  <si>
    <t>Transports locaux et manutentions</t>
  </si>
  <si>
    <t>MONTANT</t>
  </si>
  <si>
    <t>Montages,installation et Essais</t>
  </si>
  <si>
    <t>Imprimantes code barre</t>
  </si>
  <si>
    <t>Sièges de bureaux</t>
  </si>
  <si>
    <t xml:space="preserve"> Sécurité incendie</t>
  </si>
  <si>
    <t>Imprimante code barre</t>
  </si>
  <si>
    <t>4.c) Sécurité incendie</t>
  </si>
  <si>
    <t>Mobicompteurs</t>
  </si>
  <si>
    <t>Lecteurs code barre sans fil</t>
  </si>
  <si>
    <t>Serveur de GED (Gestion Electronique documents)</t>
  </si>
  <si>
    <t>Serveur impression sécurisée</t>
  </si>
  <si>
    <t>Serveur d'automatismes</t>
  </si>
  <si>
    <t>Sièges de bureau</t>
  </si>
  <si>
    <t>L'ENTREPRISE</t>
  </si>
  <si>
    <t>MAITRED'ŒUVRE</t>
  </si>
  <si>
    <t>MAITRE D'OUVRAGE</t>
  </si>
  <si>
    <t>Coffre forts</t>
  </si>
  <si>
    <t>Armoires ignifugées</t>
  </si>
  <si>
    <t>Taxes et douanes sur importation (35%)</t>
  </si>
  <si>
    <t>Montages,installations et Essais</t>
  </si>
  <si>
    <t>déjà encaissé</t>
  </si>
  <si>
    <t xml:space="preserve"> </t>
  </si>
  <si>
    <t>% Avancement  au 29/08/2013</t>
  </si>
  <si>
    <t>% Réalisé  au 08/10/13</t>
  </si>
  <si>
    <t>% Avancement  au 12/12/2013</t>
  </si>
  <si>
    <t>% Avancement  au 03/01/2014</t>
  </si>
  <si>
    <t>% Avancement  au 26/12/2014</t>
  </si>
  <si>
    <t>% Réalisé au 15/12/2016</t>
  </si>
  <si>
    <t>%Réalisé du 26/12/14 au 15/12/2016</t>
  </si>
  <si>
    <t>Nbre de jours consommés calendaires</t>
  </si>
  <si>
    <t>Nbre de jours consommés ouvrés</t>
  </si>
  <si>
    <t>SUSPENSION</t>
  </si>
  <si>
    <t>exécution</t>
  </si>
  <si>
    <t xml:space="preserve">    </t>
  </si>
  <si>
    <t>Ordre de service de commencer les travaux</t>
  </si>
  <si>
    <t>ORDRE DE SERVICE</t>
  </si>
  <si>
    <t xml:space="preserve">DELAIS JOURS OUVRES </t>
  </si>
  <si>
    <t>DATE DE DEBUT</t>
  </si>
  <si>
    <t>DATE DE FIN</t>
  </si>
  <si>
    <t xml:space="preserve">Suspension de délais pour signature travaux supplémentaires </t>
  </si>
  <si>
    <t>Signature Avenant pour travaux supplémentaires</t>
  </si>
  <si>
    <t>Ordre de service  de prolongation de délais</t>
  </si>
  <si>
    <t>Ordre de service de commencer les travaux supplémentaires</t>
  </si>
  <si>
    <t>Jusqu'à mise à disposition</t>
  </si>
  <si>
    <t>Suspension pour besoin en eau et décanteur</t>
  </si>
  <si>
    <t>temps exécuté</t>
  </si>
  <si>
    <t>Durée Contractuelle</t>
  </si>
  <si>
    <t xml:space="preserve">Durée totale du chantier </t>
  </si>
  <si>
    <t>Dépassement de délais 2</t>
  </si>
  <si>
    <t>Jours fériés</t>
  </si>
  <si>
    <t>Entre le 30 avril 2013 et le 21 novembre 2013</t>
  </si>
  <si>
    <t>Durée</t>
  </si>
  <si>
    <t xml:space="preserve">Fête du travail </t>
  </si>
  <si>
    <t>fête de l'unité</t>
  </si>
  <si>
    <t>Eid al fitr(Ramadan)</t>
  </si>
  <si>
    <t>Aid el Kebir (Tabaski)</t>
  </si>
  <si>
    <t>Vendredi Saint</t>
  </si>
  <si>
    <t>Les jours fériés durant le chantier</t>
  </si>
  <si>
    <t>Entre le 02 octobre 2015 et le 04 mai 2016</t>
  </si>
  <si>
    <t>Fête de Noél</t>
  </si>
  <si>
    <t xml:space="preserve">1er Janvier </t>
  </si>
  <si>
    <t>Fête de la jeunesse</t>
  </si>
  <si>
    <t>Délais d'attente renouvellement work permit</t>
  </si>
  <si>
    <t>Total general</t>
  </si>
  <si>
    <t>Work permit</t>
  </si>
  <si>
    <t>Assomption</t>
  </si>
  <si>
    <t>CONSOMMATION DES DELAIS</t>
  </si>
  <si>
    <t>% Réalisé au 03/05/2016</t>
  </si>
  <si>
    <t>%Réalisé du 26/12/14 au 03/05/2016</t>
  </si>
  <si>
    <t>%Réalisé du 26/12/14 au 03/06/2016</t>
  </si>
  <si>
    <t xml:space="preserve">   </t>
  </si>
  <si>
    <t xml:space="preserve">President membres de la commssion de réception provisoire   </t>
  </si>
  <si>
    <t>Le maitre d'ouvrage ou son représentant</t>
  </si>
  <si>
    <t>Le représentant du Ministre en charge des Marchés publics</t>
  </si>
  <si>
    <t xml:space="preserve">Chef de service du marché </t>
  </si>
  <si>
    <t>La société Med Sarl</t>
  </si>
  <si>
    <t>La société Amla Cameroun</t>
  </si>
  <si>
    <t xml:space="preserve">Ingénieur du Marché </t>
  </si>
  <si>
    <t>Noms et signatures</t>
  </si>
  <si>
    <t>suspension</t>
  </si>
  <si>
    <t>exécution travaux suppl</t>
  </si>
  <si>
    <t>Exécution marché de base</t>
  </si>
  <si>
    <t>exécution marché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</si>
</sst>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0.0"/>
    <numFmt numFmtId="166" formatCode="#,##0_ ;\-#,##0\ "/>
    <numFmt numFmtId="167" formatCode="#,##0\ _€"/>
    <numFmt numFmtId="168" formatCode="0.0%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i/>
      <sz val="12"/>
      <color theme="1"/>
      <name val="Cambria"/>
      <family val="1"/>
      <scheme val="major"/>
    </font>
    <font>
      <i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name val="Times New Roman"/>
      <family val="1"/>
    </font>
    <font>
      <b/>
      <i/>
      <sz val="13"/>
      <color theme="1"/>
      <name val="Cambria"/>
      <family val="1"/>
      <scheme val="major"/>
    </font>
    <font>
      <sz val="11"/>
      <color theme="1"/>
      <name val="Times New Roman"/>
      <family val="1"/>
    </font>
    <font>
      <b/>
      <i/>
      <sz val="11"/>
      <color theme="1"/>
      <name val="Cambria"/>
      <family val="1"/>
      <scheme val="major"/>
    </font>
    <font>
      <i/>
      <sz val="11"/>
      <color theme="1"/>
      <name val="Cambria"/>
      <family val="1"/>
      <scheme val="major"/>
    </font>
    <font>
      <b/>
      <sz val="11"/>
      <color theme="1"/>
      <name val="Times New Roman"/>
      <family val="1"/>
    </font>
    <font>
      <sz val="11"/>
      <color theme="1"/>
      <name val="Cambria"/>
      <family val="1"/>
      <scheme val="major"/>
    </font>
    <font>
      <b/>
      <sz val="11"/>
      <name val="Times New Roman"/>
      <family val="1"/>
    </font>
    <font>
      <i/>
      <sz val="11"/>
      <color rgb="FFFF0000"/>
      <name val="Cambria"/>
      <family val="1"/>
      <scheme val="major"/>
    </font>
    <font>
      <i/>
      <sz val="12"/>
      <color rgb="FF00B050"/>
      <name val="Cambria"/>
      <family val="1"/>
      <scheme val="major"/>
    </font>
    <font>
      <i/>
      <sz val="12"/>
      <name val="Cambria"/>
      <family val="1"/>
      <scheme val="major"/>
    </font>
    <font>
      <sz val="11"/>
      <color rgb="FF0070C0"/>
      <name val="Calibri"/>
      <family val="2"/>
      <scheme val="minor"/>
    </font>
    <font>
      <b/>
      <sz val="11"/>
      <color theme="5" tint="-0.249977111117893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Cambria"/>
      <family val="1"/>
      <scheme val="major"/>
    </font>
    <font>
      <i/>
      <sz val="13"/>
      <color theme="1"/>
      <name val="Cambria"/>
      <family val="1"/>
      <scheme val="major"/>
    </font>
    <font>
      <i/>
      <sz val="13"/>
      <name val="Cambria"/>
      <family val="1"/>
      <scheme val="major"/>
    </font>
    <font>
      <b/>
      <i/>
      <sz val="13"/>
      <name val="Cambria"/>
      <family val="1"/>
      <scheme val="maj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3"/>
      <name val="Cambria"/>
      <family val="1"/>
      <scheme val="major"/>
    </font>
    <font>
      <b/>
      <sz val="16"/>
      <color theme="1"/>
      <name val="Times New Roman"/>
      <family val="1"/>
    </font>
    <font>
      <b/>
      <i/>
      <sz val="10"/>
      <color theme="1"/>
      <name val="Cambria"/>
      <family val="1"/>
      <scheme val="major"/>
    </font>
    <font>
      <b/>
      <i/>
      <sz val="11"/>
      <color rgb="FF0070C0"/>
      <name val="Cambria"/>
      <family val="1"/>
      <scheme val="major"/>
    </font>
    <font>
      <sz val="13"/>
      <color rgb="FF0070C0"/>
      <name val="Calibri"/>
      <family val="2"/>
      <scheme val="minor"/>
    </font>
    <font>
      <b/>
      <i/>
      <sz val="13"/>
      <color rgb="FF0070C0"/>
      <name val="Cambria"/>
      <family val="1"/>
      <scheme val="major"/>
    </font>
    <font>
      <sz val="13"/>
      <color rgb="FF0070C0"/>
      <name val="Times New Roman"/>
      <family val="1"/>
    </font>
    <font>
      <b/>
      <sz val="13"/>
      <color rgb="FF0070C0"/>
      <name val="Times New Roman"/>
      <family val="1"/>
    </font>
    <font>
      <i/>
      <sz val="13"/>
      <color rgb="FF0070C0"/>
      <name val="Cambria"/>
      <family val="1"/>
      <scheme val="major"/>
    </font>
    <font>
      <b/>
      <sz val="16"/>
      <color rgb="FF0070C0"/>
      <name val="Times New Roman"/>
      <family val="1"/>
    </font>
    <font>
      <i/>
      <sz val="11"/>
      <color rgb="FF0070C0"/>
      <name val="Cambria"/>
      <family val="1"/>
      <scheme val="major"/>
    </font>
    <font>
      <i/>
      <sz val="11"/>
      <color theme="4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b/>
      <i/>
      <sz val="12"/>
      <color rgb="FFFF0000"/>
      <name val="Times New Roman"/>
      <family val="1"/>
    </font>
    <font>
      <sz val="13"/>
      <color rgb="FFFF0000"/>
      <name val="Times New Roman"/>
      <family val="1"/>
    </font>
    <font>
      <i/>
      <sz val="12"/>
      <color rgb="FFFF0000"/>
      <name val="Cambria"/>
      <family val="1"/>
      <scheme val="major"/>
    </font>
    <font>
      <b/>
      <i/>
      <sz val="12"/>
      <color rgb="FF0070C0"/>
      <name val="Cambria"/>
      <family val="1"/>
      <scheme val="major"/>
    </font>
    <font>
      <sz val="12"/>
      <color rgb="FFFF0000"/>
      <name val="Times New Roman"/>
      <family val="1"/>
    </font>
    <font>
      <b/>
      <i/>
      <sz val="14"/>
      <color theme="1"/>
      <name val="Cambria"/>
      <family val="1"/>
      <scheme val="major"/>
    </font>
    <font>
      <i/>
      <sz val="13"/>
      <color rgb="FFFF0000"/>
      <name val="Cambria"/>
      <family val="1"/>
      <scheme val="major"/>
    </font>
    <font>
      <b/>
      <i/>
      <sz val="13"/>
      <color rgb="FFFF0000"/>
      <name val="Cambria"/>
      <family val="1"/>
      <scheme val="major"/>
    </font>
    <font>
      <b/>
      <sz val="14"/>
      <color rgb="FF7030A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2">
    <xf numFmtId="0" fontId="0" fillId="0" borderId="0" xfId="0"/>
    <xf numFmtId="0" fontId="7" fillId="0" borderId="5" xfId="0" applyFont="1" applyFill="1" applyBorder="1"/>
    <xf numFmtId="0" fontId="8" fillId="0" borderId="5" xfId="0" applyFont="1" applyFill="1" applyBorder="1"/>
    <xf numFmtId="0" fontId="8" fillId="0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9" fontId="12" fillId="0" borderId="0" xfId="2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9" fontId="12" fillId="0" borderId="0" xfId="2" applyFont="1" applyFill="1" applyBorder="1" applyAlignment="1">
      <alignment horizontal="center" vertical="center"/>
    </xf>
    <xf numFmtId="10" fontId="12" fillId="0" borderId="0" xfId="2" applyNumberFormat="1" applyFont="1" applyFill="1" applyBorder="1" applyAlignment="1">
      <alignment horizontal="center" vertical="center"/>
    </xf>
    <xf numFmtId="9" fontId="14" fillId="0" borderId="0" xfId="2" applyFont="1" applyFill="1" applyBorder="1"/>
    <xf numFmtId="0" fontId="14" fillId="0" borderId="0" xfId="0" applyFont="1" applyFill="1"/>
    <xf numFmtId="10" fontId="15" fillId="0" borderId="0" xfId="2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10" fontId="17" fillId="0" borderId="0" xfId="2" applyNumberFormat="1" applyFont="1" applyFill="1" applyBorder="1" applyAlignment="1" applyProtection="1">
      <alignment vertical="center" wrapText="1"/>
      <protection hidden="1"/>
    </xf>
    <xf numFmtId="0" fontId="8" fillId="0" borderId="0" xfId="0" applyFont="1" applyFill="1"/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64" fontId="14" fillId="0" borderId="0" xfId="1" applyNumberFormat="1" applyFont="1" applyFill="1" applyAlignment="1">
      <alignment horizontal="center"/>
    </xf>
    <xf numFmtId="0" fontId="13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/>
    <xf numFmtId="0" fontId="0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4" fillId="0" borderId="15" xfId="0" applyFont="1" applyFill="1" applyBorder="1"/>
    <xf numFmtId="0" fontId="14" fillId="0" borderId="15" xfId="0" applyFont="1" applyFill="1" applyBorder="1" applyAlignment="1">
      <alignment wrapText="1"/>
    </xf>
    <xf numFmtId="0" fontId="14" fillId="0" borderId="15" xfId="0" applyFont="1" applyFill="1" applyBorder="1" applyAlignment="1">
      <alignment horizontal="center"/>
    </xf>
    <xf numFmtId="164" fontId="14" fillId="0" borderId="15" xfId="1" applyNumberFormat="1" applyFont="1" applyFill="1" applyBorder="1" applyAlignment="1">
      <alignment horizontal="center"/>
    </xf>
    <xf numFmtId="164" fontId="12" fillId="0" borderId="15" xfId="1" applyNumberFormat="1" applyFont="1" applyFill="1" applyBorder="1" applyAlignment="1">
      <alignment horizontal="center" vertical="center"/>
    </xf>
    <xf numFmtId="166" fontId="12" fillId="0" borderId="15" xfId="1" applyNumberFormat="1" applyFont="1" applyFill="1" applyBorder="1" applyAlignment="1">
      <alignment horizontal="center" vertical="center"/>
    </xf>
    <xf numFmtId="9" fontId="12" fillId="0" borderId="15" xfId="2" applyFont="1" applyFill="1" applyBorder="1" applyAlignment="1">
      <alignment horizontal="center" vertical="center"/>
    </xf>
    <xf numFmtId="0" fontId="13" fillId="0" borderId="15" xfId="0" applyFont="1" applyFill="1" applyBorder="1"/>
    <xf numFmtId="164" fontId="13" fillId="0" borderId="15" xfId="1" applyNumberFormat="1" applyFont="1" applyFill="1" applyBorder="1" applyAlignment="1">
      <alignment horizontal="center"/>
    </xf>
    <xf numFmtId="164" fontId="15" fillId="0" borderId="15" xfId="1" applyNumberFormat="1" applyFont="1" applyFill="1" applyBorder="1" applyAlignment="1">
      <alignment horizontal="center" vertical="center"/>
    </xf>
    <xf numFmtId="10" fontId="15" fillId="0" borderId="15" xfId="2" applyNumberFormat="1" applyFont="1" applyFill="1" applyBorder="1" applyAlignment="1">
      <alignment horizontal="center" vertical="center"/>
    </xf>
    <xf numFmtId="164" fontId="16" fillId="0" borderId="15" xfId="1" applyNumberFormat="1" applyFont="1" applyFill="1" applyBorder="1" applyAlignment="1">
      <alignment horizontal="center"/>
    </xf>
    <xf numFmtId="0" fontId="14" fillId="0" borderId="15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164" fontId="14" fillId="0" borderId="15" xfId="0" applyNumberFormat="1" applyFont="1" applyFill="1" applyBorder="1"/>
    <xf numFmtId="164" fontId="14" fillId="0" borderId="15" xfId="0" applyNumberFormat="1" applyFont="1" applyFill="1" applyBorder="1" applyAlignment="1">
      <alignment horizontal="center"/>
    </xf>
    <xf numFmtId="164" fontId="14" fillId="0" borderId="15" xfId="2" applyNumberFormat="1" applyFont="1" applyFill="1" applyBorder="1"/>
    <xf numFmtId="10" fontId="14" fillId="0" borderId="15" xfId="2" applyNumberFormat="1" applyFont="1" applyFill="1" applyBorder="1"/>
    <xf numFmtId="3" fontId="14" fillId="0" borderId="15" xfId="0" applyNumberFormat="1" applyFont="1" applyFill="1" applyBorder="1"/>
    <xf numFmtId="3" fontId="14" fillId="0" borderId="15" xfId="0" applyNumberFormat="1" applyFont="1" applyFill="1" applyBorder="1" applyAlignment="1">
      <alignment horizontal="center"/>
    </xf>
    <xf numFmtId="0" fontId="14" fillId="0" borderId="15" xfId="2" applyNumberFormat="1" applyFont="1" applyFill="1" applyBorder="1"/>
    <xf numFmtId="0" fontId="14" fillId="0" borderId="15" xfId="2" applyNumberFormat="1" applyFont="1" applyFill="1" applyBorder="1" applyAlignment="1">
      <alignment horizontal="center"/>
    </xf>
    <xf numFmtId="9" fontId="14" fillId="0" borderId="15" xfId="2" applyFont="1" applyFill="1" applyBorder="1"/>
    <xf numFmtId="164" fontId="17" fillId="0" borderId="15" xfId="0" applyNumberFormat="1" applyFont="1" applyFill="1" applyBorder="1" applyAlignment="1" applyProtection="1">
      <alignment vertical="center" wrapText="1"/>
      <protection hidden="1"/>
    </xf>
    <xf numFmtId="164" fontId="17" fillId="0" borderId="15" xfId="0" applyNumberFormat="1" applyFont="1" applyFill="1" applyBorder="1" applyAlignment="1" applyProtection="1">
      <alignment horizontal="center" vertical="center" wrapText="1"/>
      <protection hidden="1"/>
    </xf>
    <xf numFmtId="14" fontId="7" fillId="0" borderId="2" xfId="0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/>
    <xf numFmtId="0" fontId="8" fillId="0" borderId="6" xfId="0" applyFont="1" applyFill="1" applyBorder="1"/>
    <xf numFmtId="0" fontId="8" fillId="0" borderId="5" xfId="0" applyFont="1" applyFill="1" applyBorder="1" applyAlignment="1">
      <alignment wrapText="1"/>
    </xf>
    <xf numFmtId="164" fontId="4" fillId="0" borderId="5" xfId="1" applyNumberFormat="1" applyFont="1" applyFill="1" applyBorder="1" applyAlignment="1">
      <alignment horizontal="center" vertical="center"/>
    </xf>
    <xf numFmtId="9" fontId="4" fillId="0" borderId="6" xfId="2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164" fontId="11" fillId="0" borderId="5" xfId="1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wrapText="1"/>
    </xf>
    <xf numFmtId="164" fontId="10" fillId="0" borderId="5" xfId="0" applyNumberFormat="1" applyFont="1" applyFill="1" applyBorder="1" applyAlignment="1" applyProtection="1">
      <alignment vertical="center" wrapText="1"/>
      <protection hidden="1"/>
    </xf>
    <xf numFmtId="0" fontId="3" fillId="0" borderId="5" xfId="0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14" fontId="5" fillId="0" borderId="5" xfId="0" applyNumberFormat="1" applyFont="1" applyFill="1" applyBorder="1" applyAlignment="1">
      <alignment vertical="center"/>
    </xf>
    <xf numFmtId="14" fontId="5" fillId="0" borderId="6" xfId="0" applyNumberFormat="1" applyFont="1" applyFill="1" applyBorder="1" applyAlignment="1">
      <alignment horizontal="left" vertical="center"/>
    </xf>
    <xf numFmtId="10" fontId="4" fillId="0" borderId="5" xfId="0" applyNumberFormat="1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left" vertical="center"/>
    </xf>
    <xf numFmtId="3" fontId="4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0" fontId="14" fillId="0" borderId="0" xfId="0" applyFont="1" applyAlignment="1">
      <alignment vertical="center"/>
    </xf>
    <xf numFmtId="14" fontId="14" fillId="0" borderId="0" xfId="0" applyNumberFormat="1" applyFont="1"/>
    <xf numFmtId="164" fontId="14" fillId="0" borderId="0" xfId="1" applyNumberFormat="1" applyFont="1" applyAlignment="1">
      <alignment horizontal="center" vertical="center"/>
    </xf>
    <xf numFmtId="164" fontId="8" fillId="0" borderId="0" xfId="0" applyNumberFormat="1" applyFont="1" applyFill="1"/>
    <xf numFmtId="9" fontId="10" fillId="0" borderId="6" xfId="2" applyFont="1" applyFill="1" applyBorder="1" applyAlignment="1" applyProtection="1">
      <alignment vertical="center" wrapText="1"/>
      <protection hidden="1"/>
    </xf>
    <xf numFmtId="14" fontId="8" fillId="0" borderId="0" xfId="0" applyNumberFormat="1" applyFont="1" applyFill="1"/>
    <xf numFmtId="0" fontId="14" fillId="0" borderId="15" xfId="0" applyFont="1" applyFill="1" applyBorder="1" applyAlignment="1">
      <alignment horizontal="left"/>
    </xf>
    <xf numFmtId="9" fontId="12" fillId="0" borderId="15" xfId="2" applyNumberFormat="1" applyFont="1" applyFill="1" applyBorder="1" applyAlignment="1">
      <alignment horizontal="center" vertical="center"/>
    </xf>
    <xf numFmtId="164" fontId="13" fillId="0" borderId="15" xfId="1" applyNumberFormat="1" applyFont="1" applyFill="1" applyBorder="1"/>
    <xf numFmtId="164" fontId="13" fillId="0" borderId="15" xfId="0" applyNumberFormat="1" applyFont="1" applyFill="1" applyBorder="1"/>
    <xf numFmtId="14" fontId="13" fillId="0" borderId="17" xfId="0" applyNumberFormat="1" applyFont="1" applyFill="1" applyBorder="1" applyAlignment="1"/>
    <xf numFmtId="41" fontId="13" fillId="0" borderId="15" xfId="3" applyNumberFormat="1" applyFont="1" applyFill="1" applyBorder="1"/>
    <xf numFmtId="167" fontId="14" fillId="0" borderId="15" xfId="0" applyNumberFormat="1" applyFont="1" applyFill="1" applyBorder="1"/>
    <xf numFmtId="41" fontId="14" fillId="0" borderId="15" xfId="1" applyNumberFormat="1" applyFont="1" applyFill="1" applyBorder="1"/>
    <xf numFmtId="164" fontId="14" fillId="0" borderId="15" xfId="1" applyNumberFormat="1" applyFont="1" applyFill="1" applyBorder="1"/>
    <xf numFmtId="164" fontId="8" fillId="0" borderId="5" xfId="0" applyNumberFormat="1" applyFont="1" applyFill="1" applyBorder="1"/>
    <xf numFmtId="9" fontId="8" fillId="0" borderId="6" xfId="2" applyFont="1" applyFill="1" applyBorder="1"/>
    <xf numFmtId="168" fontId="8" fillId="0" borderId="6" xfId="2" applyNumberFormat="1" applyFont="1" applyFill="1" applyBorder="1"/>
    <xf numFmtId="167" fontId="8" fillId="0" borderId="5" xfId="0" applyNumberFormat="1" applyFont="1" applyFill="1" applyBorder="1"/>
    <xf numFmtId="10" fontId="18" fillId="0" borderId="0" xfId="0" applyNumberFormat="1" applyFont="1" applyAlignment="1">
      <alignment horizontal="center"/>
    </xf>
    <xf numFmtId="166" fontId="13" fillId="0" borderId="15" xfId="0" applyNumberFormat="1" applyFont="1" applyFill="1" applyBorder="1"/>
    <xf numFmtId="0" fontId="14" fillId="0" borderId="0" xfId="0" applyFont="1" applyAlignment="1">
      <alignment horizontal="center"/>
    </xf>
    <xf numFmtId="164" fontId="14" fillId="0" borderId="0" xfId="0" applyNumberFormat="1" applyFont="1" applyFill="1"/>
    <xf numFmtId="0" fontId="19" fillId="0" borderId="5" xfId="0" applyFont="1" applyFill="1" applyBorder="1" applyAlignment="1">
      <alignment wrapText="1"/>
    </xf>
    <xf numFmtId="0" fontId="19" fillId="0" borderId="5" xfId="0" applyFont="1" applyFill="1" applyBorder="1" applyAlignment="1">
      <alignment horizontal="left"/>
    </xf>
    <xf numFmtId="0" fontId="20" fillId="0" borderId="5" xfId="0" applyFont="1" applyFill="1" applyBorder="1" applyAlignment="1">
      <alignment horizontal="left"/>
    </xf>
    <xf numFmtId="0" fontId="19" fillId="0" borderId="5" xfId="0" applyFont="1" applyFill="1" applyBorder="1"/>
    <xf numFmtId="164" fontId="12" fillId="0" borderId="0" xfId="2" applyNumberFormat="1" applyFont="1" applyFill="1" applyBorder="1" applyAlignment="1">
      <alignment horizontal="center" vertical="center"/>
    </xf>
    <xf numFmtId="164" fontId="18" fillId="0" borderId="0" xfId="0" applyNumberFormat="1" applyFont="1" applyFill="1"/>
    <xf numFmtId="0" fontId="14" fillId="0" borderId="0" xfId="0" applyFont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left"/>
    </xf>
    <xf numFmtId="0" fontId="18" fillId="0" borderId="15" xfId="0" applyFont="1" applyFill="1" applyBorder="1"/>
    <xf numFmtId="10" fontId="22" fillId="0" borderId="15" xfId="2" applyNumberFormat="1" applyFont="1" applyFill="1" applyBorder="1" applyAlignment="1" applyProtection="1">
      <alignment vertical="center" wrapText="1"/>
      <protection hidden="1"/>
    </xf>
    <xf numFmtId="0" fontId="14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/>
    </xf>
    <xf numFmtId="164" fontId="13" fillId="5" borderId="15" xfId="1" applyNumberFormat="1" applyFont="1" applyFill="1" applyBorder="1" applyAlignment="1">
      <alignment horizontal="center" vertical="center" wrapText="1"/>
    </xf>
    <xf numFmtId="14" fontId="13" fillId="4" borderId="0" xfId="0" applyNumberFormat="1" applyFont="1" applyFill="1" applyBorder="1" applyAlignment="1">
      <alignment horizontal="left"/>
    </xf>
    <xf numFmtId="0" fontId="14" fillId="0" borderId="15" xfId="0" applyFont="1" applyFill="1" applyBorder="1" applyAlignment="1">
      <alignment horizontal="left"/>
    </xf>
    <xf numFmtId="0" fontId="14" fillId="0" borderId="15" xfId="0" applyFont="1" applyFill="1" applyBorder="1" applyAlignment="1">
      <alignment horizontal="center" wrapText="1"/>
    </xf>
    <xf numFmtId="14" fontId="7" fillId="4" borderId="0" xfId="0" applyNumberFormat="1" applyFont="1" applyFill="1" applyBorder="1" applyAlignment="1">
      <alignment horizontal="right"/>
    </xf>
    <xf numFmtId="0" fontId="24" fillId="0" borderId="15" xfId="0" applyFont="1" applyFill="1" applyBorder="1" applyAlignment="1"/>
    <xf numFmtId="0" fontId="11" fillId="0" borderId="15" xfId="0" applyFont="1" applyFill="1" applyBorder="1" applyAlignment="1"/>
    <xf numFmtId="0" fontId="25" fillId="0" borderId="15" xfId="0" applyFont="1" applyFill="1" applyBorder="1" applyAlignment="1">
      <alignment wrapText="1"/>
    </xf>
    <xf numFmtId="0" fontId="26" fillId="0" borderId="15" xfId="0" applyFont="1" applyFill="1" applyBorder="1" applyAlignment="1">
      <alignment wrapText="1"/>
    </xf>
    <xf numFmtId="0" fontId="27" fillId="0" borderId="15" xfId="0" applyFont="1" applyFill="1" applyBorder="1" applyAlignment="1">
      <alignment horizontal="center"/>
    </xf>
    <xf numFmtId="0" fontId="26" fillId="0" borderId="15" xfId="0" applyFont="1" applyFill="1" applyBorder="1"/>
    <xf numFmtId="0" fontId="27" fillId="0" borderId="15" xfId="0" applyFont="1" applyFill="1" applyBorder="1"/>
    <xf numFmtId="0" fontId="25" fillId="0" borderId="15" xfId="0" applyFont="1" applyFill="1" applyBorder="1" applyAlignment="1">
      <alignment horizontal="center"/>
    </xf>
    <xf numFmtId="0" fontId="28" fillId="0" borderId="15" xfId="0" applyFont="1" applyFill="1" applyBorder="1" applyAlignment="1"/>
    <xf numFmtId="0" fontId="28" fillId="0" borderId="15" xfId="0" applyFont="1" applyFill="1" applyBorder="1" applyAlignment="1">
      <alignment vertical="center"/>
    </xf>
    <xf numFmtId="0" fontId="28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vertical="center"/>
    </xf>
    <xf numFmtId="9" fontId="11" fillId="0" borderId="15" xfId="2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164" fontId="25" fillId="0" borderId="15" xfId="1" applyNumberFormat="1" applyFont="1" applyFill="1" applyBorder="1" applyAlignment="1">
      <alignment horizontal="center" vertical="center"/>
    </xf>
    <xf numFmtId="9" fontId="25" fillId="0" borderId="15" xfId="2" applyFont="1" applyFill="1" applyBorder="1" applyAlignment="1">
      <alignment horizontal="center" vertical="center"/>
    </xf>
    <xf numFmtId="9" fontId="29" fillId="0" borderId="15" xfId="2" applyFont="1" applyFill="1" applyBorder="1" applyAlignment="1">
      <alignment horizontal="center" vertical="center"/>
    </xf>
    <xf numFmtId="166" fontId="29" fillId="0" borderId="15" xfId="1" applyNumberFormat="1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/>
    </xf>
    <xf numFmtId="164" fontId="26" fillId="0" borderId="15" xfId="1" applyNumberFormat="1" applyFont="1" applyFill="1" applyBorder="1" applyAlignment="1">
      <alignment horizontal="center" vertical="center"/>
    </xf>
    <xf numFmtId="9" fontId="26" fillId="0" borderId="15" xfId="2" applyFont="1" applyFill="1" applyBorder="1" applyAlignment="1">
      <alignment horizontal="center" vertical="center"/>
    </xf>
    <xf numFmtId="9" fontId="30" fillId="0" borderId="15" xfId="2" applyFont="1" applyFill="1" applyBorder="1" applyAlignment="1">
      <alignment horizontal="center" vertical="center"/>
    </xf>
    <xf numFmtId="166" fontId="30" fillId="0" borderId="15" xfId="1" applyNumberFormat="1" applyFont="1" applyFill="1" applyBorder="1" applyAlignment="1">
      <alignment horizontal="center" vertical="center"/>
    </xf>
    <xf numFmtId="164" fontId="27" fillId="0" borderId="15" xfId="1" applyNumberFormat="1" applyFont="1" applyFill="1" applyBorder="1" applyAlignment="1">
      <alignment horizontal="center" vertical="center"/>
    </xf>
    <xf numFmtId="9" fontId="31" fillId="0" borderId="15" xfId="2" applyFont="1" applyFill="1" applyBorder="1" applyAlignment="1">
      <alignment horizontal="center" vertical="center"/>
    </xf>
    <xf numFmtId="164" fontId="31" fillId="0" borderId="15" xfId="1" applyNumberFormat="1" applyFont="1" applyFill="1" applyBorder="1" applyAlignment="1">
      <alignment horizontal="center" vertical="center"/>
    </xf>
    <xf numFmtId="166" fontId="31" fillId="0" borderId="15" xfId="1" applyNumberFormat="1" applyFont="1" applyFill="1" applyBorder="1" applyAlignment="1">
      <alignment horizontal="center" vertical="center"/>
    </xf>
    <xf numFmtId="9" fontId="26" fillId="0" borderId="15" xfId="2" applyFont="1" applyFill="1" applyBorder="1"/>
    <xf numFmtId="166" fontId="26" fillId="0" borderId="15" xfId="0" applyNumberFormat="1" applyFont="1" applyFill="1" applyBorder="1"/>
    <xf numFmtId="164" fontId="32" fillId="0" borderId="15" xfId="1" applyNumberFormat="1" applyFont="1" applyFill="1" applyBorder="1" applyAlignment="1">
      <alignment horizontal="center" vertical="center"/>
    </xf>
    <xf numFmtId="164" fontId="27" fillId="0" borderId="15" xfId="0" applyNumberFormat="1" applyFont="1" applyFill="1" applyBorder="1" applyAlignment="1">
      <alignment horizontal="center"/>
    </xf>
    <xf numFmtId="9" fontId="27" fillId="0" borderId="15" xfId="2" applyFont="1" applyFill="1" applyBorder="1" applyAlignment="1">
      <alignment horizontal="center"/>
    </xf>
    <xf numFmtId="166" fontId="27" fillId="0" borderId="15" xfId="0" applyNumberFormat="1" applyFont="1" applyFill="1" applyBorder="1" applyAlignment="1">
      <alignment horizontal="center"/>
    </xf>
    <xf numFmtId="0" fontId="26" fillId="0" borderId="15" xfId="0" applyFont="1" applyFill="1" applyBorder="1" applyAlignment="1">
      <alignment vertical="center"/>
    </xf>
    <xf numFmtId="0" fontId="26" fillId="0" borderId="15" xfId="0" applyFont="1" applyFill="1" applyBorder="1" applyAlignment="1">
      <alignment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left"/>
    </xf>
    <xf numFmtId="0" fontId="26" fillId="0" borderId="15" xfId="0" applyFont="1" applyFill="1" applyBorder="1" applyAlignment="1">
      <alignment horizontal="left"/>
    </xf>
    <xf numFmtId="0" fontId="27" fillId="0" borderId="15" xfId="0" applyFont="1" applyFill="1" applyBorder="1" applyAlignment="1"/>
    <xf numFmtId="164" fontId="27" fillId="0" borderId="15" xfId="0" applyNumberFormat="1" applyFont="1" applyFill="1" applyBorder="1" applyAlignment="1"/>
    <xf numFmtId="164" fontId="30" fillId="0" borderId="15" xfId="1" applyNumberFormat="1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wrapText="1"/>
    </xf>
    <xf numFmtId="164" fontId="26" fillId="0" borderId="15" xfId="0" applyNumberFormat="1" applyFont="1" applyFill="1" applyBorder="1" applyAlignment="1">
      <alignment horizontal="center"/>
    </xf>
    <xf numFmtId="10" fontId="31" fillId="0" borderId="15" xfId="2" applyNumberFormat="1" applyFont="1" applyFill="1" applyBorder="1" applyAlignment="1">
      <alignment horizontal="center" vertical="center"/>
    </xf>
    <xf numFmtId="164" fontId="27" fillId="0" borderId="15" xfId="0" applyNumberFormat="1" applyFont="1" applyFill="1" applyBorder="1" applyAlignment="1">
      <alignment vertical="center"/>
    </xf>
    <xf numFmtId="164" fontId="26" fillId="0" borderId="5" xfId="1" applyNumberFormat="1" applyFont="1" applyBorder="1" applyAlignment="1">
      <alignment horizontal="center"/>
    </xf>
    <xf numFmtId="9" fontId="30" fillId="0" borderId="15" xfId="2" applyNumberFormat="1" applyFont="1" applyFill="1" applyBorder="1" applyAlignment="1">
      <alignment horizontal="center" vertical="center"/>
    </xf>
    <xf numFmtId="9" fontId="26" fillId="0" borderId="15" xfId="2" applyFont="1" applyFill="1" applyBorder="1" applyAlignment="1">
      <alignment horizontal="center"/>
    </xf>
    <xf numFmtId="9" fontId="26" fillId="0" borderId="15" xfId="0" applyNumberFormat="1" applyFont="1" applyFill="1" applyBorder="1" applyAlignment="1">
      <alignment horizontal="center"/>
    </xf>
    <xf numFmtId="0" fontId="26" fillId="0" borderId="15" xfId="0" applyFont="1" applyFill="1" applyBorder="1" applyAlignment="1">
      <alignment horizontal="left" wrapText="1"/>
    </xf>
    <xf numFmtId="164" fontId="11" fillId="0" borderId="15" xfId="1" applyNumberFormat="1" applyFont="1" applyFill="1" applyBorder="1" applyAlignment="1">
      <alignment horizontal="center" vertical="center"/>
    </xf>
    <xf numFmtId="9" fontId="25" fillId="0" borderId="15" xfId="2" applyFont="1" applyFill="1" applyBorder="1"/>
    <xf numFmtId="3" fontId="25" fillId="0" borderId="15" xfId="0" applyNumberFormat="1" applyFont="1" applyFill="1" applyBorder="1" applyAlignment="1">
      <alignment horizontal="center"/>
    </xf>
    <xf numFmtId="9" fontId="25" fillId="0" borderId="15" xfId="0" applyNumberFormat="1" applyFont="1" applyFill="1" applyBorder="1" applyAlignment="1">
      <alignment horizontal="center"/>
    </xf>
    <xf numFmtId="10" fontId="2" fillId="0" borderId="15" xfId="2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164" fontId="31" fillId="0" borderId="15" xfId="0" applyNumberFormat="1" applyFont="1" applyFill="1" applyBorder="1" applyAlignment="1" applyProtection="1">
      <alignment vertical="center" wrapText="1"/>
      <protection hidden="1"/>
    </xf>
    <xf numFmtId="164" fontId="3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0" applyFont="1" applyFill="1"/>
    <xf numFmtId="164" fontId="11" fillId="2" borderId="15" xfId="1" applyNumberFormat="1" applyFont="1" applyFill="1" applyBorder="1" applyAlignment="1">
      <alignment horizontal="center" vertical="center"/>
    </xf>
    <xf numFmtId="10" fontId="25" fillId="2" borderId="15" xfId="2" applyNumberFormat="1" applyFont="1" applyFill="1" applyBorder="1"/>
    <xf numFmtId="10" fontId="25" fillId="2" borderId="15" xfId="2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14" fontId="25" fillId="0" borderId="0" xfId="0" applyNumberFormat="1" applyFont="1"/>
    <xf numFmtId="164" fontId="25" fillId="0" borderId="0" xfId="1" applyNumberFormat="1" applyFont="1" applyAlignment="1">
      <alignment horizontal="center" vertical="center"/>
    </xf>
    <xf numFmtId="10" fontId="33" fillId="2" borderId="15" xfId="2" applyNumberFormat="1" applyFont="1" applyFill="1" applyBorder="1" applyAlignment="1">
      <alignment horizontal="center" vertical="center"/>
    </xf>
    <xf numFmtId="10" fontId="34" fillId="2" borderId="15" xfId="2" applyNumberFormat="1" applyFont="1" applyFill="1" applyBorder="1"/>
    <xf numFmtId="10" fontId="34" fillId="2" borderId="15" xfId="2" applyNumberFormat="1" applyFont="1" applyFill="1" applyBorder="1" applyAlignment="1">
      <alignment horizontal="center"/>
    </xf>
    <xf numFmtId="164" fontId="33" fillId="2" borderId="15" xfId="1" applyNumberFormat="1" applyFont="1" applyFill="1" applyBorder="1" applyAlignment="1">
      <alignment horizontal="center" vertical="center"/>
    </xf>
    <xf numFmtId="164" fontId="14" fillId="0" borderId="0" xfId="2" applyNumberFormat="1" applyFont="1" applyFill="1" applyBorder="1"/>
    <xf numFmtId="0" fontId="21" fillId="4" borderId="0" xfId="0" applyFont="1" applyFill="1" applyBorder="1" applyAlignment="1">
      <alignment horizontal="right"/>
    </xf>
    <xf numFmtId="0" fontId="35" fillId="5" borderId="15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/>
    <xf numFmtId="0" fontId="37" fillId="0" borderId="15" xfId="0" applyFont="1" applyFill="1" applyBorder="1" applyAlignment="1">
      <alignment horizontal="center"/>
    </xf>
    <xf numFmtId="9" fontId="38" fillId="0" borderId="15" xfId="2" applyFont="1" applyFill="1" applyBorder="1" applyAlignment="1">
      <alignment horizontal="center" vertical="center"/>
    </xf>
    <xf numFmtId="9" fontId="39" fillId="0" borderId="15" xfId="2" applyFont="1" applyFill="1" applyBorder="1" applyAlignment="1">
      <alignment horizontal="center" vertical="center"/>
    </xf>
    <xf numFmtId="0" fontId="40" fillId="0" borderId="15" xfId="0" applyFont="1" applyFill="1" applyBorder="1"/>
    <xf numFmtId="164" fontId="39" fillId="0" borderId="15" xfId="1" applyNumberFormat="1" applyFont="1" applyFill="1" applyBorder="1" applyAlignment="1">
      <alignment horizontal="center" vertical="center"/>
    </xf>
    <xf numFmtId="10" fontId="39" fillId="0" borderId="15" xfId="2" applyNumberFormat="1" applyFont="1" applyFill="1" applyBorder="1" applyAlignment="1">
      <alignment horizontal="center" vertical="center"/>
    </xf>
    <xf numFmtId="9" fontId="38" fillId="0" borderId="15" xfId="2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 applyProtection="1">
      <alignment vertical="center" wrapText="1"/>
      <protection hidden="1"/>
    </xf>
    <xf numFmtId="10" fontId="41" fillId="2" borderId="15" xfId="2" applyNumberFormat="1" applyFont="1" applyFill="1" applyBorder="1" applyAlignment="1">
      <alignment horizontal="center" vertical="center"/>
    </xf>
    <xf numFmtId="0" fontId="40" fillId="0" borderId="0" xfId="0" applyFont="1"/>
    <xf numFmtId="0" fontId="40" fillId="3" borderId="0" xfId="0" applyFont="1" applyFill="1" applyBorder="1" applyAlignment="1">
      <alignment horizontal="center"/>
    </xf>
    <xf numFmtId="0" fontId="40" fillId="0" borderId="0" xfId="0" applyFont="1" applyBorder="1" applyAlignment="1">
      <alignment horizontal="center"/>
    </xf>
    <xf numFmtId="10" fontId="42" fillId="0" borderId="0" xfId="0" applyNumberFormat="1" applyFont="1" applyAlignment="1">
      <alignment horizontal="center"/>
    </xf>
    <xf numFmtId="0" fontId="42" fillId="0" borderId="0" xfId="0" applyFont="1"/>
    <xf numFmtId="0" fontId="43" fillId="0" borderId="15" xfId="0" applyFont="1" applyFill="1" applyBorder="1" applyAlignment="1">
      <alignment horizontal="center"/>
    </xf>
    <xf numFmtId="164" fontId="14" fillId="0" borderId="0" xfId="1" applyNumberFormat="1" applyFont="1" applyFill="1"/>
    <xf numFmtId="0" fontId="7" fillId="0" borderId="5" xfId="0" applyFont="1" applyFill="1" applyBorder="1" applyAlignment="1">
      <alignment horizontal="center" vertical="center" wrapText="1"/>
    </xf>
    <xf numFmtId="14" fontId="46" fillId="0" borderId="5" xfId="0" applyNumberFormat="1" applyFont="1" applyFill="1" applyBorder="1" applyAlignment="1">
      <alignment vertical="center"/>
    </xf>
    <xf numFmtId="14" fontId="46" fillId="0" borderId="6" xfId="0" applyNumberFormat="1" applyFont="1" applyFill="1" applyBorder="1" applyAlignment="1">
      <alignment horizontal="left" vertical="center"/>
    </xf>
    <xf numFmtId="0" fontId="47" fillId="0" borderId="5" xfId="0" applyFont="1" applyFill="1" applyBorder="1" applyAlignment="1">
      <alignment horizontal="center" vertical="center" wrapText="1"/>
    </xf>
    <xf numFmtId="0" fontId="47" fillId="0" borderId="6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vertical="center"/>
    </xf>
    <xf numFmtId="0" fontId="48" fillId="0" borderId="6" xfId="0" applyFont="1" applyFill="1" applyBorder="1" applyAlignment="1">
      <alignment horizontal="center" vertical="center" wrapText="1"/>
    </xf>
    <xf numFmtId="9" fontId="46" fillId="0" borderId="5" xfId="0" applyNumberFormat="1" applyFont="1" applyFill="1" applyBorder="1" applyAlignment="1">
      <alignment horizontal="center" vertical="center"/>
    </xf>
    <xf numFmtId="164" fontId="46" fillId="0" borderId="6" xfId="1" applyNumberFormat="1" applyFont="1" applyFill="1" applyBorder="1" applyAlignment="1">
      <alignment vertic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7" fillId="0" borderId="15" xfId="0" applyFont="1" applyFill="1" applyBorder="1" applyAlignment="1">
      <alignment horizontal="center"/>
    </xf>
    <xf numFmtId="0" fontId="31" fillId="0" borderId="1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>
      <alignment horizontal="left"/>
    </xf>
    <xf numFmtId="0" fontId="25" fillId="3" borderId="15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10" fontId="5" fillId="2" borderId="15" xfId="2" applyNumberFormat="1" applyFont="1" applyFill="1" applyBorder="1" applyAlignment="1">
      <alignment horizontal="center" vertical="center"/>
    </xf>
    <xf numFmtId="9" fontId="49" fillId="0" borderId="15" xfId="2" applyFont="1" applyFill="1" applyBorder="1" applyAlignment="1">
      <alignment horizontal="center" vertical="center"/>
    </xf>
    <xf numFmtId="9" fontId="49" fillId="0" borderId="15" xfId="2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50" fillId="0" borderId="5" xfId="0" applyFont="1" applyFill="1" applyBorder="1"/>
    <xf numFmtId="0" fontId="20" fillId="0" borderId="5" xfId="0" applyFont="1" applyFill="1" applyBorder="1"/>
    <xf numFmtId="0" fontId="20" fillId="0" borderId="5" xfId="0" applyFont="1" applyFill="1" applyBorder="1" applyAlignment="1">
      <alignment wrapText="1"/>
    </xf>
    <xf numFmtId="15" fontId="8" fillId="0" borderId="5" xfId="0" applyNumberFormat="1" applyFont="1" applyFill="1" applyBorder="1" applyAlignment="1">
      <alignment wrapText="1"/>
    </xf>
    <xf numFmtId="15" fontId="8" fillId="0" borderId="5" xfId="0" applyNumberFormat="1" applyFont="1" applyFill="1" applyBorder="1" applyAlignment="1">
      <alignment horizontal="center"/>
    </xf>
    <xf numFmtId="0" fontId="50" fillId="0" borderId="5" xfId="0" applyFont="1" applyFill="1" applyBorder="1" applyAlignment="1">
      <alignment horizontal="center"/>
    </xf>
    <xf numFmtId="10" fontId="4" fillId="0" borderId="5" xfId="2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8" fillId="0" borderId="14" xfId="0" applyFont="1" applyFill="1" applyBorder="1" applyAlignment="1">
      <alignment horizontal="center" vertical="center" wrapText="1"/>
    </xf>
    <xf numFmtId="164" fontId="48" fillId="0" borderId="14" xfId="0" applyNumberFormat="1" applyFont="1" applyFill="1" applyBorder="1" applyAlignment="1">
      <alignment horizontal="center" vertical="center"/>
    </xf>
    <xf numFmtId="1" fontId="51" fillId="0" borderId="5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/>
    </xf>
    <xf numFmtId="10" fontId="5" fillId="0" borderId="12" xfId="0" applyNumberFormat="1" applyFont="1" applyFill="1" applyBorder="1" applyAlignment="1">
      <alignment vertical="center"/>
    </xf>
    <xf numFmtId="15" fontId="8" fillId="6" borderId="5" xfId="0" applyNumberFormat="1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15" fontId="8" fillId="6" borderId="5" xfId="0" applyNumberFormat="1" applyFont="1" applyFill="1" applyBorder="1" applyAlignment="1">
      <alignment horizontal="center"/>
    </xf>
    <xf numFmtId="164" fontId="8" fillId="6" borderId="5" xfId="1" applyNumberFormat="1" applyFont="1" applyFill="1" applyBorder="1" applyAlignment="1">
      <alignment horizontal="center"/>
    </xf>
    <xf numFmtId="1" fontId="52" fillId="6" borderId="6" xfId="2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wrapText="1"/>
    </xf>
    <xf numFmtId="0" fontId="8" fillId="7" borderId="5" xfId="0" applyFont="1" applyFill="1" applyBorder="1" applyAlignment="1">
      <alignment wrapText="1"/>
    </xf>
    <xf numFmtId="0" fontId="8" fillId="7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wrapText="1"/>
    </xf>
    <xf numFmtId="0" fontId="7" fillId="8" borderId="5" xfId="0" applyFont="1" applyFill="1" applyBorder="1" applyAlignment="1">
      <alignment horizontal="center"/>
    </xf>
    <xf numFmtId="0" fontId="53" fillId="0" borderId="5" xfId="0" applyFont="1" applyFill="1" applyBorder="1"/>
    <xf numFmtId="0" fontId="7" fillId="3" borderId="5" xfId="0" applyFont="1" applyFill="1" applyBorder="1" applyAlignment="1">
      <alignment horizontal="justify" vertical="center"/>
    </xf>
    <xf numFmtId="164" fontId="8" fillId="0" borderId="5" xfId="1" applyNumberFormat="1" applyFont="1" applyFill="1" applyBorder="1" applyAlignment="1">
      <alignment horizontal="justify" vertical="center"/>
    </xf>
    <xf numFmtId="15" fontId="8" fillId="6" borderId="5" xfId="0" applyNumberFormat="1" applyFont="1" applyFill="1" applyBorder="1" applyAlignment="1">
      <alignment horizontal="justify" vertical="center" wrapText="1"/>
    </xf>
    <xf numFmtId="15" fontId="8" fillId="0" borderId="5" xfId="0" applyNumberFormat="1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justify" vertical="center" wrapText="1"/>
    </xf>
    <xf numFmtId="0" fontId="8" fillId="6" borderId="5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justify" vertical="center"/>
    </xf>
    <xf numFmtId="164" fontId="7" fillId="3" borderId="5" xfId="1" applyNumberFormat="1" applyFont="1" applyFill="1" applyBorder="1" applyAlignment="1">
      <alignment horizontal="justify" vertical="center"/>
    </xf>
    <xf numFmtId="0" fontId="4" fillId="0" borderId="6" xfId="2" applyNumberFormat="1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/>
    </xf>
    <xf numFmtId="0" fontId="40" fillId="7" borderId="0" xfId="0" applyFont="1" applyFill="1" applyBorder="1" applyAlignment="1">
      <alignment horizontal="center"/>
    </xf>
    <xf numFmtId="0" fontId="54" fillId="0" borderId="15" xfId="0" applyFont="1" applyFill="1" applyBorder="1"/>
    <xf numFmtId="0" fontId="14" fillId="7" borderId="0" xfId="0" applyFont="1" applyFill="1" applyBorder="1" applyAlignment="1">
      <alignment horizontal="center"/>
    </xf>
    <xf numFmtId="0" fontId="26" fillId="7" borderId="0" xfId="0" applyFont="1" applyFill="1" applyBorder="1" applyAlignment="1"/>
    <xf numFmtId="3" fontId="31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49" fillId="0" borderId="15" xfId="1" applyNumberFormat="1" applyFont="1" applyFill="1" applyBorder="1" applyAlignment="1">
      <alignment horizontal="center" vertical="center"/>
    </xf>
    <xf numFmtId="164" fontId="55" fillId="0" borderId="15" xfId="0" applyNumberFormat="1" applyFont="1" applyFill="1" applyBorder="1" applyAlignment="1">
      <alignment vertical="center"/>
    </xf>
    <xf numFmtId="164" fontId="42" fillId="0" borderId="0" xfId="0" applyNumberFormat="1" applyFont="1"/>
    <xf numFmtId="10" fontId="56" fillId="0" borderId="15" xfId="2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5" fillId="7" borderId="0" xfId="0" applyFont="1" applyFill="1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/>
    </xf>
    <xf numFmtId="0" fontId="25" fillId="7" borderId="0" xfId="0" applyFont="1" applyFill="1" applyBorder="1" applyAlignment="1">
      <alignment vertical="center"/>
    </xf>
    <xf numFmtId="0" fontId="25" fillId="7" borderId="0" xfId="0" applyFont="1" applyFill="1" applyBorder="1" applyAlignment="1"/>
    <xf numFmtId="0" fontId="25" fillId="0" borderId="0" xfId="0" applyFont="1" applyBorder="1" applyAlignment="1"/>
    <xf numFmtId="0" fontId="11" fillId="9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0" fontId="49" fillId="0" borderId="15" xfId="2" applyNumberFormat="1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7" fillId="10" borderId="6" xfId="0" applyFont="1" applyFill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left"/>
    </xf>
    <xf numFmtId="0" fontId="54" fillId="0" borderId="15" xfId="0" applyFont="1" applyFill="1" applyBorder="1" applyAlignment="1">
      <alignment wrapText="1"/>
    </xf>
    <xf numFmtId="0" fontId="54" fillId="0" borderId="15" xfId="0" applyFont="1" applyFill="1" applyBorder="1" applyAlignment="1">
      <alignment horizontal="left" wrapText="1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7" fillId="4" borderId="32" xfId="0" applyFont="1" applyFill="1" applyBorder="1" applyAlignment="1">
      <alignment horizontal="right"/>
    </xf>
    <xf numFmtId="0" fontId="23" fillId="4" borderId="31" xfId="0" applyFont="1" applyFill="1" applyBorder="1" applyAlignment="1">
      <alignment horizontal="right"/>
    </xf>
    <xf numFmtId="0" fontId="23" fillId="4" borderId="33" xfId="0" applyFont="1" applyFill="1" applyBorder="1" applyAlignment="1">
      <alignment horizontal="right"/>
    </xf>
    <xf numFmtId="14" fontId="13" fillId="4" borderId="32" xfId="0" applyNumberFormat="1" applyFont="1" applyFill="1" applyBorder="1" applyAlignment="1">
      <alignment horizontal="right"/>
    </xf>
    <xf numFmtId="0" fontId="0" fillId="4" borderId="31" xfId="0" applyFill="1" applyBorder="1" applyAlignment="1">
      <alignment horizontal="right"/>
    </xf>
    <xf numFmtId="0" fontId="11" fillId="9" borderId="18" xfId="0" applyFont="1" applyFill="1" applyBorder="1" applyAlignment="1">
      <alignment horizontal="center" vertical="center"/>
    </xf>
    <xf numFmtId="0" fontId="11" fillId="9" borderId="19" xfId="0" applyFont="1" applyFill="1" applyBorder="1" applyAlignment="1">
      <alignment horizontal="center" vertical="center"/>
    </xf>
    <xf numFmtId="0" fontId="11" fillId="9" borderId="20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/>
    </xf>
    <xf numFmtId="0" fontId="31" fillId="0" borderId="1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>
      <alignment horizontal="left"/>
    </xf>
    <xf numFmtId="0" fontId="25" fillId="0" borderId="15" xfId="0" applyFont="1" applyFill="1" applyBorder="1" applyAlignment="1">
      <alignment horizontal="left"/>
    </xf>
    <xf numFmtId="0" fontId="27" fillId="0" borderId="18" xfId="0" applyFont="1" applyFill="1" applyBorder="1" applyAlignment="1">
      <alignment horizontal="center"/>
    </xf>
    <xf numFmtId="0" fontId="27" fillId="0" borderId="19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14" fontId="11" fillId="4" borderId="32" xfId="0" applyNumberFormat="1" applyFont="1" applyFill="1" applyBorder="1" applyAlignment="1">
      <alignment horizontal="center"/>
    </xf>
    <xf numFmtId="14" fontId="11" fillId="4" borderId="31" xfId="0" applyNumberFormat="1" applyFont="1" applyFill="1" applyBorder="1" applyAlignment="1">
      <alignment horizontal="center"/>
    </xf>
    <xf numFmtId="0" fontId="11" fillId="4" borderId="32" xfId="0" applyFont="1" applyFill="1" applyBorder="1" applyAlignment="1">
      <alignment horizontal="right"/>
    </xf>
    <xf numFmtId="0" fontId="28" fillId="4" borderId="31" xfId="0" applyFont="1" applyFill="1" applyBorder="1"/>
    <xf numFmtId="0" fontId="28" fillId="4" borderId="33" xfId="0" applyFont="1" applyFill="1" applyBorder="1"/>
    <xf numFmtId="0" fontId="13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center" vertical="center" wrapText="1"/>
      <protection hidden="1"/>
    </xf>
    <xf numFmtId="0" fontId="13" fillId="0" borderId="15" xfId="0" applyFont="1" applyFill="1" applyBorder="1" applyAlignment="1">
      <alignment horizontal="left"/>
    </xf>
    <xf numFmtId="14" fontId="13" fillId="0" borderId="16" xfId="0" applyNumberFormat="1" applyFont="1" applyFill="1" applyBorder="1" applyAlignment="1">
      <alignment horizontal="left"/>
    </xf>
    <xf numFmtId="14" fontId="13" fillId="0" borderId="0" xfId="0" applyNumberFormat="1" applyFont="1" applyFill="1" applyBorder="1" applyAlignment="1">
      <alignment horizontal="left"/>
    </xf>
    <xf numFmtId="0" fontId="13" fillId="0" borderId="16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17" xfId="0" applyFont="1" applyFill="1" applyBorder="1" applyAlignment="1">
      <alignment horizontal="right"/>
    </xf>
    <xf numFmtId="164" fontId="13" fillId="0" borderId="15" xfId="1" applyNumberFormat="1" applyFont="1" applyFill="1" applyBorder="1" applyAlignment="1">
      <alignment horizontal="center" vertical="center"/>
    </xf>
    <xf numFmtId="10" fontId="4" fillId="0" borderId="4" xfId="2" applyNumberFormat="1" applyFont="1" applyFill="1" applyBorder="1" applyAlignment="1">
      <alignment horizontal="center" vertical="center"/>
    </xf>
    <xf numFmtId="10" fontId="4" fillId="0" borderId="5" xfId="2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10" fillId="0" borderId="10" xfId="0" applyFont="1" applyFill="1" applyBorder="1" applyAlignment="1" applyProtection="1">
      <alignment horizontal="center" vertical="center" wrapText="1"/>
      <protection hidden="1"/>
    </xf>
    <xf numFmtId="0" fontId="10" fillId="0" borderId="13" xfId="0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164" fontId="48" fillId="0" borderId="12" xfId="0" applyNumberFormat="1" applyFont="1" applyFill="1" applyBorder="1" applyAlignment="1">
      <alignment horizontal="center" vertical="center"/>
    </xf>
    <xf numFmtId="164" fontId="48" fillId="0" borderId="1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5" fillId="3" borderId="18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right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T109"/>
  <sheetViews>
    <sheetView tabSelected="1" zoomScale="89" zoomScaleNormal="89" workbookViewId="0">
      <pane ySplit="3" topLeftCell="A86" activePane="bottomLeft" state="frozen"/>
      <selection pane="bottomLeft" activeCell="E87" sqref="E87"/>
    </sheetView>
  </sheetViews>
  <sheetFormatPr baseColWidth="10" defaultRowHeight="14.25" x14ac:dyDescent="0.2"/>
  <cols>
    <col min="1" max="1" width="6.28515625" style="12" customWidth="1"/>
    <col min="2" max="2" width="40.140625" style="7" customWidth="1"/>
    <col min="3" max="3" width="10" style="12" customWidth="1"/>
    <col min="4" max="4" width="16.5703125" style="101" customWidth="1"/>
    <col min="5" max="5" width="19.5703125" style="101" customWidth="1"/>
    <col min="6" max="6" width="14.85546875" style="7" hidden="1" customWidth="1"/>
    <col min="7" max="7" width="16.42578125" style="7" customWidth="1"/>
    <col min="8" max="8" width="16.85546875" style="12" customWidth="1"/>
    <col min="9" max="9" width="15.5703125" style="12" customWidth="1"/>
    <col min="10" max="10" width="15.42578125" style="120" customWidth="1"/>
    <col min="11" max="11" width="16.140625" style="128" customWidth="1"/>
    <col min="12" max="12" width="21.85546875" style="7" customWidth="1"/>
    <col min="13" max="13" width="21.85546875" style="230" customWidth="1"/>
    <col min="14" max="14" width="27.140625" style="7" customWidth="1"/>
    <col min="15" max="15" width="12.5703125" style="7" customWidth="1"/>
    <col min="16" max="16" width="23" style="7" customWidth="1"/>
    <col min="17" max="18" width="12.5703125" style="7" customWidth="1"/>
    <col min="19" max="19" width="4" style="7" customWidth="1"/>
    <col min="20" max="24" width="11.42578125" style="7"/>
    <col min="25" max="25" width="11" style="7" customWidth="1"/>
    <col min="26" max="16384" width="11.42578125" style="7"/>
  </cols>
  <sheetData>
    <row r="2" spans="1:20" ht="16.5" customHeight="1" x14ac:dyDescent="0.25">
      <c r="A2" s="134"/>
      <c r="B2" s="334" t="s">
        <v>149</v>
      </c>
      <c r="C2" s="335"/>
      <c r="D2" s="335"/>
      <c r="E2" s="335"/>
      <c r="F2" s="336"/>
      <c r="G2" s="141">
        <v>42493</v>
      </c>
      <c r="H2" s="337"/>
      <c r="I2" s="338"/>
      <c r="J2" s="338"/>
      <c r="K2" s="338"/>
      <c r="L2" s="338"/>
      <c r="M2" s="214"/>
      <c r="N2" s="138"/>
    </row>
    <row r="3" spans="1:20" s="8" customFormat="1" ht="75.75" customHeight="1" x14ac:dyDescent="0.25">
      <c r="A3" s="135" t="s">
        <v>110</v>
      </c>
      <c r="B3" s="135" t="s">
        <v>111</v>
      </c>
      <c r="C3" s="136" t="s">
        <v>112</v>
      </c>
      <c r="D3" s="137" t="s">
        <v>163</v>
      </c>
      <c r="E3" s="137" t="s">
        <v>147</v>
      </c>
      <c r="F3" s="135" t="s">
        <v>157</v>
      </c>
      <c r="G3" s="135" t="s">
        <v>191</v>
      </c>
      <c r="H3" s="135" t="s">
        <v>192</v>
      </c>
      <c r="I3" s="135" t="s">
        <v>193</v>
      </c>
      <c r="J3" s="135" t="s">
        <v>194</v>
      </c>
      <c r="K3" s="135" t="s">
        <v>195</v>
      </c>
      <c r="L3" s="135" t="s">
        <v>236</v>
      </c>
      <c r="M3" s="215" t="s">
        <v>237</v>
      </c>
      <c r="N3" s="135" t="s">
        <v>150</v>
      </c>
      <c r="O3" s="6"/>
      <c r="P3" s="6"/>
      <c r="Q3" s="6"/>
      <c r="R3" s="6"/>
    </row>
    <row r="4" spans="1:20" ht="15.75" customHeight="1" x14ac:dyDescent="0.3">
      <c r="A4" s="149">
        <v>1</v>
      </c>
      <c r="B4" s="142" t="s">
        <v>115</v>
      </c>
      <c r="C4" s="150"/>
      <c r="D4" s="151"/>
      <c r="E4" s="151"/>
      <c r="F4" s="150"/>
      <c r="G4" s="150"/>
      <c r="H4" s="152"/>
      <c r="I4" s="152"/>
      <c r="J4" s="152"/>
      <c r="K4" s="152"/>
      <c r="L4" s="150"/>
      <c r="M4" s="216"/>
      <c r="N4" s="150"/>
      <c r="O4" s="9"/>
      <c r="P4" s="9"/>
      <c r="Q4" s="9"/>
      <c r="R4" s="9"/>
    </row>
    <row r="5" spans="1:20" ht="16.5" x14ac:dyDescent="0.25">
      <c r="A5" s="349" t="s">
        <v>116</v>
      </c>
      <c r="B5" s="143" t="s">
        <v>114</v>
      </c>
      <c r="C5" s="143"/>
      <c r="D5" s="153"/>
      <c r="E5" s="153"/>
      <c r="F5" s="154"/>
      <c r="G5" s="154"/>
      <c r="H5" s="155"/>
      <c r="I5" s="155"/>
      <c r="J5" s="155"/>
      <c r="K5" s="155"/>
      <c r="L5" s="155"/>
      <c r="M5" s="217"/>
      <c r="N5" s="155"/>
      <c r="O5" s="10"/>
      <c r="P5" s="10"/>
      <c r="Q5" s="10"/>
      <c r="R5" s="10"/>
    </row>
    <row r="6" spans="1:20" ht="16.5" x14ac:dyDescent="0.25">
      <c r="A6" s="349"/>
      <c r="B6" s="144" t="s">
        <v>160</v>
      </c>
      <c r="C6" s="149">
        <v>3</v>
      </c>
      <c r="D6" s="156">
        <v>4426296</v>
      </c>
      <c r="E6" s="156">
        <f>C6*D6</f>
        <v>13278888</v>
      </c>
      <c r="F6" s="157">
        <v>0</v>
      </c>
      <c r="G6" s="157">
        <v>0</v>
      </c>
      <c r="H6" s="158">
        <v>0</v>
      </c>
      <c r="I6" s="158">
        <v>0.99999992469249499</v>
      </c>
      <c r="J6" s="158">
        <v>0.99999992469249499</v>
      </c>
      <c r="K6" s="158">
        <v>0.99999992469249499</v>
      </c>
      <c r="L6" s="158">
        <v>1</v>
      </c>
      <c r="M6" s="218"/>
      <c r="N6" s="159"/>
      <c r="O6" s="11"/>
      <c r="P6" s="11"/>
      <c r="Q6" s="11"/>
      <c r="R6" s="11"/>
    </row>
    <row r="7" spans="1:20" ht="19.5" customHeight="1" x14ac:dyDescent="0.25">
      <c r="A7" s="349"/>
      <c r="B7" s="145" t="s">
        <v>161</v>
      </c>
      <c r="C7" s="160">
        <v>3</v>
      </c>
      <c r="D7" s="161">
        <v>5305574</v>
      </c>
      <c r="E7" s="161">
        <f>C7*D7</f>
        <v>15916722</v>
      </c>
      <c r="F7" s="162">
        <v>0</v>
      </c>
      <c r="G7" s="162">
        <v>0</v>
      </c>
      <c r="H7" s="163">
        <v>0</v>
      </c>
      <c r="I7" s="163">
        <v>0</v>
      </c>
      <c r="J7" s="163">
        <v>1</v>
      </c>
      <c r="K7" s="158">
        <v>1</v>
      </c>
      <c r="L7" s="158">
        <v>1</v>
      </c>
      <c r="M7" s="218"/>
      <c r="N7" s="159"/>
      <c r="O7" s="13"/>
      <c r="P7" s="13"/>
      <c r="Q7" s="13"/>
      <c r="R7" s="13"/>
      <c r="S7" s="16"/>
      <c r="T7" s="16"/>
    </row>
    <row r="8" spans="1:20" ht="15" customHeight="1" x14ac:dyDescent="0.25">
      <c r="A8" s="349"/>
      <c r="B8" s="145" t="s">
        <v>162</v>
      </c>
      <c r="C8" s="160">
        <v>3</v>
      </c>
      <c r="D8" s="161">
        <v>7500778</v>
      </c>
      <c r="E8" s="161">
        <f>C8*D8</f>
        <v>22502334</v>
      </c>
      <c r="F8" s="162">
        <v>0</v>
      </c>
      <c r="G8" s="162">
        <v>0</v>
      </c>
      <c r="H8" s="163">
        <v>0</v>
      </c>
      <c r="I8" s="163">
        <v>1.0000000444398365</v>
      </c>
      <c r="J8" s="163">
        <v>1.0000000444398365</v>
      </c>
      <c r="K8" s="158">
        <v>1.0000000444398365</v>
      </c>
      <c r="L8" s="158">
        <v>1</v>
      </c>
      <c r="M8" s="218"/>
      <c r="N8" s="159"/>
      <c r="O8" s="13"/>
      <c r="P8" s="13"/>
      <c r="Q8" s="13"/>
      <c r="R8" s="13"/>
      <c r="S8" s="16"/>
      <c r="T8" s="16"/>
    </row>
    <row r="9" spans="1:20" s="16" customFormat="1" ht="16.5" x14ac:dyDescent="0.25">
      <c r="A9" s="149"/>
      <c r="B9" s="146" t="s">
        <v>8</v>
      </c>
      <c r="C9" s="160"/>
      <c r="D9" s="161"/>
      <c r="E9" s="165">
        <f>SUM(E6:E8)</f>
        <v>51697944</v>
      </c>
      <c r="F9" s="166"/>
      <c r="G9" s="166"/>
      <c r="H9" s="167">
        <v>0</v>
      </c>
      <c r="I9" s="167"/>
      <c r="J9" s="167"/>
      <c r="K9" s="167"/>
      <c r="L9" s="166"/>
      <c r="M9" s="219"/>
      <c r="N9" s="168"/>
      <c r="O9" s="17"/>
      <c r="P9" s="17"/>
      <c r="Q9" s="17"/>
      <c r="R9" s="17"/>
    </row>
    <row r="10" spans="1:20" ht="16.5" x14ac:dyDescent="0.25">
      <c r="A10" s="149"/>
      <c r="B10" s="147"/>
      <c r="C10" s="160"/>
      <c r="D10" s="161"/>
      <c r="E10" s="161"/>
      <c r="F10" s="169"/>
      <c r="G10" s="169"/>
      <c r="H10" s="160"/>
      <c r="I10" s="160"/>
      <c r="J10" s="160"/>
      <c r="K10" s="160"/>
      <c r="L10" s="147"/>
      <c r="M10" s="220"/>
      <c r="N10" s="170"/>
      <c r="O10" s="18"/>
      <c r="P10" s="18"/>
      <c r="Q10" s="18"/>
      <c r="R10" s="18"/>
      <c r="S10" s="16"/>
      <c r="T10" s="16"/>
    </row>
    <row r="11" spans="1:20" ht="16.5" x14ac:dyDescent="0.25">
      <c r="A11" s="149" t="s">
        <v>118</v>
      </c>
      <c r="B11" s="148" t="s">
        <v>117</v>
      </c>
      <c r="C11" s="160"/>
      <c r="D11" s="161"/>
      <c r="E11" s="161"/>
      <c r="F11" s="169"/>
      <c r="G11" s="169"/>
      <c r="H11" s="160"/>
      <c r="I11" s="160"/>
      <c r="J11" s="160"/>
      <c r="K11" s="160"/>
      <c r="L11" s="147"/>
      <c r="M11" s="220"/>
      <c r="N11" s="170"/>
      <c r="O11" s="18"/>
      <c r="P11" s="18"/>
      <c r="Q11" s="18"/>
      <c r="R11" s="18"/>
      <c r="S11" s="16"/>
      <c r="T11" s="16"/>
    </row>
    <row r="12" spans="1:20" ht="16.5" x14ac:dyDescent="0.25">
      <c r="A12" s="149"/>
      <c r="B12" s="147" t="s">
        <v>10</v>
      </c>
      <c r="C12" s="160">
        <v>1</v>
      </c>
      <c r="D12" s="171">
        <v>17944444</v>
      </c>
      <c r="E12" s="161">
        <f>C12*D12</f>
        <v>17944444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1</v>
      </c>
      <c r="L12" s="163">
        <v>1</v>
      </c>
      <c r="M12" s="218"/>
      <c r="N12" s="164"/>
      <c r="O12" s="13"/>
      <c r="P12" s="13"/>
      <c r="Q12" s="13"/>
      <c r="R12" s="13"/>
      <c r="S12" s="16"/>
      <c r="T12" s="16"/>
    </row>
    <row r="13" spans="1:20" ht="16.5" x14ac:dyDescent="0.25">
      <c r="A13" s="149"/>
      <c r="B13" s="147" t="s">
        <v>11</v>
      </c>
      <c r="C13" s="160">
        <v>1</v>
      </c>
      <c r="D13" s="161">
        <v>2691667</v>
      </c>
      <c r="E13" s="161">
        <f t="shared" ref="E13:E18" si="0">C13*D13</f>
        <v>2691667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1</v>
      </c>
      <c r="L13" s="163">
        <v>1</v>
      </c>
      <c r="M13" s="218"/>
      <c r="N13" s="164"/>
      <c r="O13" s="13"/>
      <c r="P13" s="13"/>
      <c r="Q13" s="13"/>
      <c r="R13" s="13"/>
      <c r="S13" s="16"/>
      <c r="T13" s="16"/>
    </row>
    <row r="14" spans="1:20" ht="16.5" x14ac:dyDescent="0.25">
      <c r="A14" s="149"/>
      <c r="B14" s="147" t="s">
        <v>12</v>
      </c>
      <c r="C14" s="160">
        <v>1</v>
      </c>
      <c r="D14" s="161">
        <v>1940991</v>
      </c>
      <c r="E14" s="161">
        <f t="shared" si="0"/>
        <v>1940991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253">
        <v>1</v>
      </c>
      <c r="M14" s="218">
        <v>1</v>
      </c>
      <c r="N14" s="308">
        <v>1940991</v>
      </c>
      <c r="O14" s="13"/>
      <c r="P14" s="13"/>
      <c r="Q14" s="13"/>
      <c r="R14" s="13"/>
      <c r="S14" s="16"/>
      <c r="T14" s="16"/>
    </row>
    <row r="15" spans="1:20" ht="16.5" x14ac:dyDescent="0.25">
      <c r="A15" s="149"/>
      <c r="B15" s="147" t="s">
        <v>13</v>
      </c>
      <c r="C15" s="160">
        <v>1</v>
      </c>
      <c r="D15" s="161">
        <v>1705320</v>
      </c>
      <c r="E15" s="161">
        <f t="shared" si="0"/>
        <v>1705320</v>
      </c>
      <c r="F15" s="163">
        <v>0</v>
      </c>
      <c r="G15" s="163">
        <v>0</v>
      </c>
      <c r="H15" s="163">
        <v>0</v>
      </c>
      <c r="I15" s="163">
        <v>0</v>
      </c>
      <c r="J15" s="163">
        <v>0</v>
      </c>
      <c r="K15" s="163">
        <v>1</v>
      </c>
      <c r="L15" s="163">
        <v>1</v>
      </c>
      <c r="M15" s="218"/>
      <c r="N15" s="164"/>
      <c r="O15" s="13"/>
      <c r="P15" s="13"/>
      <c r="Q15" s="13"/>
      <c r="R15" s="13"/>
      <c r="S15" s="16"/>
      <c r="T15" s="16"/>
    </row>
    <row r="16" spans="1:20" ht="16.5" x14ac:dyDescent="0.25">
      <c r="A16" s="149"/>
      <c r="B16" s="147" t="s">
        <v>14</v>
      </c>
      <c r="C16" s="160">
        <v>1</v>
      </c>
      <c r="D16" s="161">
        <v>1046759</v>
      </c>
      <c r="E16" s="161">
        <f t="shared" si="0"/>
        <v>1046759</v>
      </c>
      <c r="F16" s="163">
        <v>0</v>
      </c>
      <c r="G16" s="163">
        <v>0</v>
      </c>
      <c r="H16" s="163">
        <v>0</v>
      </c>
      <c r="I16" s="163">
        <v>0</v>
      </c>
      <c r="J16" s="163">
        <v>0</v>
      </c>
      <c r="K16" s="163">
        <v>0</v>
      </c>
      <c r="L16" s="253">
        <v>1</v>
      </c>
      <c r="M16" s="218">
        <v>1</v>
      </c>
      <c r="N16" s="308">
        <v>1046759</v>
      </c>
      <c r="O16" s="13"/>
      <c r="P16" s="13"/>
      <c r="Q16" s="13"/>
      <c r="R16" s="13"/>
      <c r="S16" s="16"/>
      <c r="T16" s="16"/>
    </row>
    <row r="17" spans="1:20" ht="16.5" x14ac:dyDescent="0.25">
      <c r="A17" s="149"/>
      <c r="B17" s="147" t="s">
        <v>176</v>
      </c>
      <c r="C17" s="160">
        <v>3</v>
      </c>
      <c r="D17" s="161">
        <v>2135389</v>
      </c>
      <c r="E17" s="161">
        <f t="shared" si="0"/>
        <v>6406167</v>
      </c>
      <c r="F17" s="163">
        <v>0</v>
      </c>
      <c r="G17" s="163">
        <v>0</v>
      </c>
      <c r="H17" s="163">
        <v>0</v>
      </c>
      <c r="I17" s="163">
        <v>1</v>
      </c>
      <c r="J17" s="163">
        <v>1</v>
      </c>
      <c r="K17" s="163">
        <v>1</v>
      </c>
      <c r="L17" s="163">
        <v>1</v>
      </c>
      <c r="M17" s="218"/>
      <c r="N17" s="164"/>
      <c r="O17" s="13"/>
      <c r="P17" s="13"/>
      <c r="Q17" s="13"/>
      <c r="R17" s="13"/>
      <c r="S17" s="16"/>
      <c r="T17" s="16"/>
    </row>
    <row r="18" spans="1:20" ht="16.5" x14ac:dyDescent="0.25">
      <c r="A18" s="149"/>
      <c r="B18" s="147" t="s">
        <v>15</v>
      </c>
      <c r="C18" s="160">
        <v>5</v>
      </c>
      <c r="D18" s="161">
        <v>323000</v>
      </c>
      <c r="E18" s="161">
        <f t="shared" si="0"/>
        <v>1615000</v>
      </c>
      <c r="F18" s="163">
        <v>0</v>
      </c>
      <c r="G18" s="163">
        <v>0</v>
      </c>
      <c r="H18" s="163">
        <v>0</v>
      </c>
      <c r="I18" s="163">
        <v>0</v>
      </c>
      <c r="J18" s="163">
        <v>0</v>
      </c>
      <c r="K18" s="163">
        <v>0</v>
      </c>
      <c r="L18" s="253">
        <v>1</v>
      </c>
      <c r="M18" s="218">
        <v>1</v>
      </c>
      <c r="N18" s="308">
        <v>1615000</v>
      </c>
      <c r="O18" s="13"/>
      <c r="P18" s="13"/>
      <c r="Q18" s="13"/>
      <c r="R18" s="13"/>
      <c r="S18" s="16"/>
      <c r="T18" s="16"/>
    </row>
    <row r="19" spans="1:20" s="16" customFormat="1" ht="16.5" x14ac:dyDescent="0.25">
      <c r="A19" s="149"/>
      <c r="B19" s="350" t="s">
        <v>16</v>
      </c>
      <c r="C19" s="350"/>
      <c r="D19" s="350"/>
      <c r="E19" s="172">
        <f>SUM(E12:E18)</f>
        <v>33350348</v>
      </c>
      <c r="F19" s="166"/>
      <c r="G19" s="166"/>
      <c r="H19" s="167">
        <v>0</v>
      </c>
      <c r="I19" s="167"/>
      <c r="J19" s="167"/>
      <c r="K19" s="167"/>
      <c r="L19" s="166"/>
      <c r="M19" s="219"/>
      <c r="N19" s="168">
        <f>SUM(N14+N16+N18)</f>
        <v>4602750</v>
      </c>
      <c r="O19" s="17"/>
      <c r="P19" s="17"/>
      <c r="Q19" s="17"/>
      <c r="R19" s="17"/>
    </row>
    <row r="20" spans="1:20" ht="16.5" x14ac:dyDescent="0.25">
      <c r="A20" s="149" t="s">
        <v>120</v>
      </c>
      <c r="B20" s="350" t="s">
        <v>119</v>
      </c>
      <c r="C20" s="350"/>
      <c r="D20" s="350"/>
      <c r="E20" s="146"/>
      <c r="F20" s="173"/>
      <c r="G20" s="173"/>
      <c r="H20" s="146"/>
      <c r="I20" s="146"/>
      <c r="J20" s="146"/>
      <c r="K20" s="146"/>
      <c r="L20" s="146"/>
      <c r="M20" s="217"/>
      <c r="N20" s="174"/>
      <c r="O20" s="18"/>
      <c r="P20" s="18"/>
      <c r="Q20" s="18"/>
      <c r="R20" s="18"/>
      <c r="S20" s="16"/>
      <c r="T20" s="16"/>
    </row>
    <row r="21" spans="1:20" ht="23.25" customHeight="1" x14ac:dyDescent="0.25">
      <c r="A21" s="149"/>
      <c r="B21" s="175" t="s">
        <v>18</v>
      </c>
      <c r="C21" s="160">
        <v>2</v>
      </c>
      <c r="D21" s="161">
        <v>3887963</v>
      </c>
      <c r="E21" s="161">
        <f>C21*D21</f>
        <v>7775926</v>
      </c>
      <c r="F21" s="163">
        <v>0</v>
      </c>
      <c r="G21" s="163">
        <v>0</v>
      </c>
      <c r="H21" s="163">
        <v>0</v>
      </c>
      <c r="I21" s="163">
        <v>1</v>
      </c>
      <c r="J21" s="163">
        <v>1</v>
      </c>
      <c r="K21" s="163">
        <v>1</v>
      </c>
      <c r="L21" s="163">
        <v>1</v>
      </c>
      <c r="M21" s="218"/>
      <c r="N21" s="164"/>
      <c r="O21" s="13"/>
      <c r="P21" s="13"/>
      <c r="Q21" s="13"/>
      <c r="R21" s="13"/>
      <c r="S21" s="16"/>
      <c r="T21" s="16"/>
    </row>
    <row r="22" spans="1:20" ht="37.5" customHeight="1" x14ac:dyDescent="0.25">
      <c r="A22" s="149"/>
      <c r="B22" s="176" t="s">
        <v>94</v>
      </c>
      <c r="C22" s="160">
        <v>2</v>
      </c>
      <c r="D22" s="161">
        <v>5383333</v>
      </c>
      <c r="E22" s="161">
        <f>C22*D22</f>
        <v>10766666</v>
      </c>
      <c r="F22" s="163">
        <v>0.99999990712074593</v>
      </c>
      <c r="G22" s="163">
        <v>0.99999990712074593</v>
      </c>
      <c r="H22" s="163">
        <v>1</v>
      </c>
      <c r="I22" s="163">
        <v>1</v>
      </c>
      <c r="J22" s="163">
        <v>1</v>
      </c>
      <c r="K22" s="163">
        <v>1</v>
      </c>
      <c r="L22" s="163">
        <v>1</v>
      </c>
      <c r="M22" s="218"/>
      <c r="N22" s="164"/>
      <c r="O22" s="13"/>
      <c r="P22" s="13"/>
      <c r="Q22" s="13"/>
      <c r="R22" s="13"/>
      <c r="S22" s="16"/>
      <c r="T22" s="16"/>
    </row>
    <row r="23" spans="1:20" s="16" customFormat="1" ht="16.5" x14ac:dyDescent="0.25">
      <c r="A23" s="149"/>
      <c r="B23" s="350" t="s">
        <v>19</v>
      </c>
      <c r="C23" s="350"/>
      <c r="D23" s="350"/>
      <c r="E23" s="172">
        <f>SUM(E21:E22)</f>
        <v>18542592</v>
      </c>
      <c r="F23" s="166"/>
      <c r="G23" s="166"/>
      <c r="H23" s="167">
        <v>0</v>
      </c>
      <c r="I23" s="167"/>
      <c r="J23" s="167"/>
      <c r="K23" s="167"/>
      <c r="L23" s="166"/>
      <c r="M23" s="218"/>
      <c r="N23" s="164"/>
      <c r="O23" s="17"/>
      <c r="P23" s="17"/>
      <c r="Q23" s="17"/>
      <c r="R23" s="17"/>
    </row>
    <row r="24" spans="1:20" ht="16.5" x14ac:dyDescent="0.25">
      <c r="A24" s="149" t="s">
        <v>122</v>
      </c>
      <c r="B24" s="350" t="s">
        <v>121</v>
      </c>
      <c r="C24" s="350"/>
      <c r="D24" s="350"/>
      <c r="E24" s="146"/>
      <c r="F24" s="173"/>
      <c r="G24" s="173"/>
      <c r="H24" s="146"/>
      <c r="I24" s="146"/>
      <c r="J24" s="146"/>
      <c r="K24" s="146"/>
      <c r="L24" s="146"/>
      <c r="M24" s="218"/>
      <c r="N24" s="164"/>
      <c r="O24" s="18"/>
      <c r="P24" s="18"/>
      <c r="Q24" s="18"/>
      <c r="R24" s="18"/>
      <c r="S24" s="16"/>
      <c r="T24" s="16"/>
    </row>
    <row r="25" spans="1:20" ht="16.5" x14ac:dyDescent="0.25">
      <c r="A25" s="149"/>
      <c r="B25" s="147" t="s">
        <v>21</v>
      </c>
      <c r="C25" s="160">
        <v>4</v>
      </c>
      <c r="D25" s="161">
        <v>193800</v>
      </c>
      <c r="E25" s="161">
        <f>C25*D25</f>
        <v>775200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  <c r="K25" s="163">
        <v>0</v>
      </c>
      <c r="L25" s="253">
        <v>1</v>
      </c>
      <c r="M25" s="37">
        <v>1</v>
      </c>
      <c r="N25" s="308">
        <v>775200</v>
      </c>
      <c r="O25" s="13"/>
      <c r="P25" s="13"/>
      <c r="Q25" s="13"/>
      <c r="R25" s="13"/>
      <c r="S25" s="16"/>
      <c r="T25" s="16"/>
    </row>
    <row r="26" spans="1:20" ht="16.5" x14ac:dyDescent="0.25">
      <c r="A26" s="149"/>
      <c r="B26" s="147" t="s">
        <v>22</v>
      </c>
      <c r="C26" s="160">
        <v>4</v>
      </c>
      <c r="D26" s="161">
        <v>93311</v>
      </c>
      <c r="E26" s="161">
        <f>C26*D26</f>
        <v>373244</v>
      </c>
      <c r="F26" s="163">
        <v>0</v>
      </c>
      <c r="G26" s="163">
        <v>0</v>
      </c>
      <c r="H26" s="163">
        <v>0</v>
      </c>
      <c r="I26" s="163">
        <v>0</v>
      </c>
      <c r="J26" s="163">
        <v>0</v>
      </c>
      <c r="K26" s="163">
        <v>0</v>
      </c>
      <c r="L26" s="253">
        <v>1</v>
      </c>
      <c r="M26" s="218">
        <v>1</v>
      </c>
      <c r="N26" s="308">
        <v>373244</v>
      </c>
      <c r="O26" s="13"/>
      <c r="P26" s="13"/>
      <c r="Q26" s="13"/>
      <c r="R26" s="13"/>
      <c r="S26" s="16"/>
      <c r="T26" s="16"/>
    </row>
    <row r="27" spans="1:20" ht="16.5" x14ac:dyDescent="0.25">
      <c r="A27" s="149"/>
      <c r="B27" s="147" t="s">
        <v>23</v>
      </c>
      <c r="C27" s="160">
        <v>3</v>
      </c>
      <c r="D27" s="161">
        <v>260194</v>
      </c>
      <c r="E27" s="161">
        <f>C27*D27</f>
        <v>780582</v>
      </c>
      <c r="F27" s="163">
        <v>0</v>
      </c>
      <c r="G27" s="163">
        <v>0</v>
      </c>
      <c r="H27" s="163">
        <v>0</v>
      </c>
      <c r="I27" s="163">
        <v>0</v>
      </c>
      <c r="J27" s="163">
        <v>0.99999871890625336</v>
      </c>
      <c r="K27" s="163">
        <v>0.99999871890625336</v>
      </c>
      <c r="L27" s="163">
        <v>1</v>
      </c>
      <c r="M27" s="218"/>
      <c r="N27" s="164"/>
      <c r="O27" s="13"/>
      <c r="P27" s="13"/>
      <c r="Q27" s="13"/>
      <c r="R27" s="13"/>
      <c r="S27" s="16"/>
      <c r="T27" s="16"/>
    </row>
    <row r="28" spans="1:20" ht="16.5" x14ac:dyDescent="0.25">
      <c r="A28" s="149"/>
      <c r="B28" s="177" t="s">
        <v>24</v>
      </c>
      <c r="C28" s="160"/>
      <c r="D28" s="161"/>
      <c r="E28" s="172">
        <f>SUM(E25:E27)</f>
        <v>1929026</v>
      </c>
      <c r="F28" s="163"/>
      <c r="G28" s="163"/>
      <c r="H28" s="163"/>
      <c r="I28" s="163"/>
      <c r="J28" s="163"/>
      <c r="K28" s="163"/>
      <c r="L28" s="166"/>
      <c r="M28" s="219"/>
      <c r="N28" s="164"/>
      <c r="O28" s="13"/>
      <c r="P28" s="13"/>
      <c r="Q28" s="13"/>
      <c r="R28" s="13"/>
      <c r="S28" s="16"/>
      <c r="T28" s="16"/>
    </row>
    <row r="29" spans="1:20" s="16" customFormat="1" ht="16.5" x14ac:dyDescent="0.25">
      <c r="A29" s="149"/>
      <c r="B29" s="146" t="s">
        <v>123</v>
      </c>
      <c r="C29" s="146"/>
      <c r="D29" s="146"/>
      <c r="E29" s="146"/>
      <c r="F29" s="166"/>
      <c r="G29" s="166"/>
      <c r="H29" s="167"/>
      <c r="I29" s="167"/>
      <c r="J29" s="167"/>
      <c r="K29" s="167"/>
      <c r="L29" s="167"/>
      <c r="M29" s="221"/>
      <c r="N29" s="167"/>
      <c r="O29" s="17"/>
      <c r="P29" s="17"/>
      <c r="Q29" s="17"/>
      <c r="R29" s="17"/>
    </row>
    <row r="30" spans="1:20" ht="16.5" x14ac:dyDescent="0.25">
      <c r="A30" s="149"/>
      <c r="B30" s="147"/>
      <c r="C30" s="160"/>
      <c r="D30" s="161"/>
      <c r="E30" s="161"/>
      <c r="F30" s="169"/>
      <c r="G30" s="169"/>
      <c r="H30" s="160"/>
      <c r="I30" s="160"/>
      <c r="J30" s="160"/>
      <c r="K30" s="160"/>
      <c r="L30" s="147"/>
      <c r="M30" s="220"/>
      <c r="N30" s="147"/>
      <c r="O30" s="18"/>
      <c r="P30" s="18"/>
      <c r="Q30" s="18"/>
      <c r="R30" s="18"/>
      <c r="S30" s="16"/>
      <c r="T30" s="16"/>
    </row>
    <row r="31" spans="1:20" ht="16.5" x14ac:dyDescent="0.25">
      <c r="A31" s="149" t="s">
        <v>125</v>
      </c>
      <c r="B31" s="352" t="s">
        <v>124</v>
      </c>
      <c r="C31" s="352"/>
      <c r="D31" s="352"/>
      <c r="E31" s="178"/>
      <c r="F31" s="173"/>
      <c r="G31" s="173"/>
      <c r="H31" s="146"/>
      <c r="I31" s="146"/>
      <c r="J31" s="146"/>
      <c r="K31" s="146"/>
      <c r="L31" s="146"/>
      <c r="M31" s="217"/>
      <c r="N31" s="146"/>
      <c r="O31" s="18"/>
      <c r="P31" s="18"/>
      <c r="Q31" s="18"/>
      <c r="R31" s="18"/>
      <c r="S31" s="16"/>
      <c r="T31" s="16"/>
    </row>
    <row r="32" spans="1:20" ht="16.5" x14ac:dyDescent="0.25">
      <c r="A32" s="149"/>
      <c r="B32" s="147" t="s">
        <v>27</v>
      </c>
      <c r="C32" s="160">
        <v>1</v>
      </c>
      <c r="D32" s="161">
        <v>1046759</v>
      </c>
      <c r="E32" s="161">
        <f>C32*D32</f>
        <v>1046759</v>
      </c>
      <c r="F32" s="163">
        <v>1</v>
      </c>
      <c r="G32" s="163">
        <v>1</v>
      </c>
      <c r="H32" s="163">
        <v>1</v>
      </c>
      <c r="I32" s="163">
        <v>1</v>
      </c>
      <c r="J32" s="163">
        <v>1</v>
      </c>
      <c r="K32" s="163">
        <v>1</v>
      </c>
      <c r="L32" s="163">
        <v>1</v>
      </c>
      <c r="M32" s="218"/>
      <c r="N32" s="164"/>
      <c r="O32" s="13"/>
      <c r="P32" s="13"/>
      <c r="Q32" s="13"/>
      <c r="R32" s="13"/>
      <c r="S32" s="16"/>
      <c r="T32" s="16"/>
    </row>
    <row r="33" spans="1:20" ht="16.5" x14ac:dyDescent="0.25">
      <c r="A33" s="149"/>
      <c r="B33" s="145" t="s">
        <v>171</v>
      </c>
      <c r="C33" s="160">
        <v>2</v>
      </c>
      <c r="D33" s="161">
        <v>1943981</v>
      </c>
      <c r="E33" s="161">
        <f t="shared" ref="E33:E42" si="1">C33*D33</f>
        <v>3887962</v>
      </c>
      <c r="F33" s="163">
        <v>0</v>
      </c>
      <c r="G33" s="163">
        <v>0</v>
      </c>
      <c r="H33" s="163">
        <v>0</v>
      </c>
      <c r="I33" s="163">
        <v>0</v>
      </c>
      <c r="J33" s="163">
        <v>0.9999997427959062</v>
      </c>
      <c r="K33" s="163">
        <v>1</v>
      </c>
      <c r="L33" s="163">
        <v>1</v>
      </c>
      <c r="M33" s="218"/>
      <c r="N33" s="164"/>
      <c r="O33" s="13"/>
      <c r="P33" s="13"/>
      <c r="Q33" s="13"/>
      <c r="R33" s="13"/>
      <c r="S33" s="16"/>
      <c r="T33" s="16"/>
    </row>
    <row r="34" spans="1:20" ht="16.5" x14ac:dyDescent="0.25">
      <c r="A34" s="149"/>
      <c r="B34" s="145" t="s">
        <v>28</v>
      </c>
      <c r="C34" s="160">
        <v>8</v>
      </c>
      <c r="D34" s="161">
        <v>265457</v>
      </c>
      <c r="E34" s="161">
        <f t="shared" si="1"/>
        <v>2123656</v>
      </c>
      <c r="F34" s="163">
        <v>0</v>
      </c>
      <c r="G34" s="163">
        <v>0</v>
      </c>
      <c r="H34" s="163">
        <v>0.99999858734382496</v>
      </c>
      <c r="I34" s="163">
        <v>1</v>
      </c>
      <c r="J34" s="163">
        <v>1</v>
      </c>
      <c r="K34" s="163">
        <v>1</v>
      </c>
      <c r="L34" s="163">
        <v>1</v>
      </c>
      <c r="M34" s="218"/>
      <c r="N34" s="164"/>
      <c r="O34" s="13"/>
      <c r="P34" s="13"/>
      <c r="Q34" s="13"/>
      <c r="R34" s="13"/>
      <c r="S34" s="16"/>
      <c r="T34" s="16"/>
    </row>
    <row r="35" spans="1:20" ht="16.5" x14ac:dyDescent="0.25">
      <c r="A35" s="149"/>
      <c r="B35" s="147" t="s">
        <v>29</v>
      </c>
      <c r="C35" s="160">
        <v>3</v>
      </c>
      <c r="D35" s="161">
        <v>1046759</v>
      </c>
      <c r="E35" s="161">
        <f t="shared" si="1"/>
        <v>3140277</v>
      </c>
      <c r="F35" s="163">
        <v>0</v>
      </c>
      <c r="G35" s="163">
        <v>0</v>
      </c>
      <c r="H35" s="163">
        <v>0.99999968155685581</v>
      </c>
      <c r="I35" s="163">
        <v>1</v>
      </c>
      <c r="J35" s="163">
        <v>1</v>
      </c>
      <c r="K35" s="163">
        <v>1</v>
      </c>
      <c r="L35" s="163">
        <v>1</v>
      </c>
      <c r="M35" s="218"/>
      <c r="N35" s="164"/>
      <c r="O35" s="13"/>
      <c r="P35" s="13"/>
      <c r="Q35" s="13"/>
      <c r="R35" s="13"/>
      <c r="S35" s="16"/>
      <c r="T35" s="16"/>
    </row>
    <row r="36" spans="1:20" ht="20.25" customHeight="1" x14ac:dyDescent="0.25">
      <c r="A36" s="149"/>
      <c r="B36" s="176" t="s">
        <v>30</v>
      </c>
      <c r="C36" s="160">
        <v>1</v>
      </c>
      <c r="D36" s="161">
        <v>2213148</v>
      </c>
      <c r="E36" s="161">
        <f t="shared" si="1"/>
        <v>2213148</v>
      </c>
      <c r="F36" s="163">
        <v>0</v>
      </c>
      <c r="G36" s="163">
        <v>0</v>
      </c>
      <c r="H36" s="163">
        <v>1</v>
      </c>
      <c r="I36" s="163">
        <v>1</v>
      </c>
      <c r="J36" s="163">
        <v>1</v>
      </c>
      <c r="K36" s="163">
        <v>1</v>
      </c>
      <c r="L36" s="163">
        <v>1</v>
      </c>
      <c r="M36" s="218"/>
      <c r="N36" s="164"/>
      <c r="O36" s="13"/>
      <c r="P36" s="13"/>
      <c r="Q36" s="13"/>
      <c r="R36" s="13"/>
      <c r="S36" s="16"/>
      <c r="T36" s="16"/>
    </row>
    <row r="37" spans="1:20" ht="33" x14ac:dyDescent="0.25">
      <c r="A37" s="149"/>
      <c r="B37" s="145" t="s">
        <v>31</v>
      </c>
      <c r="C37" s="160">
        <v>1</v>
      </c>
      <c r="D37" s="161">
        <v>2990741</v>
      </c>
      <c r="E37" s="161">
        <f t="shared" si="1"/>
        <v>2990741</v>
      </c>
      <c r="F37" s="163">
        <v>0</v>
      </c>
      <c r="G37" s="163">
        <v>0</v>
      </c>
      <c r="H37" s="163">
        <v>1</v>
      </c>
      <c r="I37" s="163">
        <v>1</v>
      </c>
      <c r="J37" s="163">
        <v>1</v>
      </c>
      <c r="K37" s="163">
        <v>1</v>
      </c>
      <c r="L37" s="163">
        <v>1</v>
      </c>
      <c r="M37" s="218"/>
      <c r="N37" s="164"/>
      <c r="O37" s="13"/>
      <c r="P37" s="13"/>
      <c r="Q37" s="13"/>
      <c r="R37" s="13"/>
      <c r="S37" s="16"/>
      <c r="T37" s="16"/>
    </row>
    <row r="38" spans="1:20" ht="16.5" x14ac:dyDescent="0.25">
      <c r="A38" s="149"/>
      <c r="B38" s="145" t="s">
        <v>32</v>
      </c>
      <c r="C38" s="160">
        <v>1</v>
      </c>
      <c r="D38" s="161">
        <v>2762963</v>
      </c>
      <c r="E38" s="161">
        <f t="shared" si="1"/>
        <v>2762963</v>
      </c>
      <c r="F38" s="163">
        <v>0</v>
      </c>
      <c r="G38" s="163">
        <v>0</v>
      </c>
      <c r="H38" s="163">
        <v>1</v>
      </c>
      <c r="I38" s="163">
        <v>1</v>
      </c>
      <c r="J38" s="163">
        <v>1</v>
      </c>
      <c r="K38" s="163">
        <v>1</v>
      </c>
      <c r="L38" s="163">
        <v>1</v>
      </c>
      <c r="M38" s="218"/>
      <c r="N38" s="164"/>
      <c r="O38" s="11"/>
      <c r="P38" s="11"/>
      <c r="Q38" s="11"/>
      <c r="R38" s="11"/>
    </row>
    <row r="39" spans="1:20" ht="16.5" x14ac:dyDescent="0.25">
      <c r="A39" s="149"/>
      <c r="B39" s="145" t="s">
        <v>33</v>
      </c>
      <c r="C39" s="160">
        <v>1</v>
      </c>
      <c r="D39" s="161">
        <v>2063611</v>
      </c>
      <c r="E39" s="161">
        <f t="shared" si="1"/>
        <v>2063611</v>
      </c>
      <c r="F39" s="163">
        <v>0</v>
      </c>
      <c r="G39" s="163">
        <v>0</v>
      </c>
      <c r="H39" s="163">
        <v>0</v>
      </c>
      <c r="I39" s="163">
        <v>0</v>
      </c>
      <c r="J39" s="163">
        <v>1</v>
      </c>
      <c r="K39" s="163">
        <v>1</v>
      </c>
      <c r="L39" s="163">
        <v>1</v>
      </c>
      <c r="M39" s="218"/>
      <c r="N39" s="164"/>
      <c r="O39" s="11"/>
      <c r="P39" s="11"/>
      <c r="Q39" s="11"/>
      <c r="R39" s="11"/>
    </row>
    <row r="40" spans="1:20" ht="16.5" x14ac:dyDescent="0.25">
      <c r="A40" s="149"/>
      <c r="B40" s="147" t="s">
        <v>34</v>
      </c>
      <c r="C40" s="160">
        <v>2</v>
      </c>
      <c r="D40" s="161">
        <v>1088630</v>
      </c>
      <c r="E40" s="161">
        <f t="shared" si="1"/>
        <v>2177260</v>
      </c>
      <c r="F40" s="163">
        <v>0</v>
      </c>
      <c r="G40" s="163">
        <v>0</v>
      </c>
      <c r="H40" s="163">
        <v>0</v>
      </c>
      <c r="I40" s="163">
        <v>0</v>
      </c>
      <c r="J40" s="163">
        <v>1.0000004592930836</v>
      </c>
      <c r="K40" s="163">
        <v>1</v>
      </c>
      <c r="L40" s="163">
        <v>1</v>
      </c>
      <c r="M40" s="218"/>
      <c r="N40" s="164"/>
      <c r="O40" s="13"/>
      <c r="P40" s="13"/>
      <c r="Q40" s="13"/>
      <c r="R40" s="13"/>
    </row>
    <row r="41" spans="1:20" ht="16.5" x14ac:dyDescent="0.25">
      <c r="A41" s="149"/>
      <c r="B41" s="147" t="s">
        <v>35</v>
      </c>
      <c r="C41" s="160">
        <v>2</v>
      </c>
      <c r="D41" s="161">
        <v>508426</v>
      </c>
      <c r="E41" s="161">
        <f t="shared" si="1"/>
        <v>1016852</v>
      </c>
      <c r="F41" s="163">
        <v>1</v>
      </c>
      <c r="G41" s="163">
        <v>1</v>
      </c>
      <c r="H41" s="163">
        <v>1</v>
      </c>
      <c r="I41" s="163">
        <v>1</v>
      </c>
      <c r="J41" s="163">
        <v>1</v>
      </c>
      <c r="K41" s="163">
        <v>1</v>
      </c>
      <c r="L41" s="163">
        <v>1</v>
      </c>
      <c r="M41" s="218"/>
      <c r="N41" s="164"/>
      <c r="O41" s="13"/>
      <c r="P41" s="13"/>
      <c r="Q41" s="13"/>
      <c r="R41" s="13"/>
    </row>
    <row r="42" spans="1:20" ht="16.5" x14ac:dyDescent="0.25">
      <c r="A42" s="149"/>
      <c r="B42" s="147" t="s">
        <v>36</v>
      </c>
      <c r="C42" s="160">
        <v>2</v>
      </c>
      <c r="D42" s="161">
        <v>2930926</v>
      </c>
      <c r="E42" s="161">
        <f t="shared" si="1"/>
        <v>5861852</v>
      </c>
      <c r="F42" s="163">
        <v>1</v>
      </c>
      <c r="G42" s="163">
        <v>1</v>
      </c>
      <c r="H42" s="163">
        <v>1</v>
      </c>
      <c r="I42" s="163">
        <v>1</v>
      </c>
      <c r="J42" s="163">
        <v>1</v>
      </c>
      <c r="K42" s="163">
        <v>1</v>
      </c>
      <c r="L42" s="163">
        <v>1</v>
      </c>
      <c r="M42" s="218"/>
      <c r="N42" s="164"/>
      <c r="O42" s="13"/>
      <c r="P42" s="13"/>
      <c r="Q42" s="13"/>
      <c r="R42" s="13"/>
    </row>
    <row r="43" spans="1:20" s="16" customFormat="1" ht="16.5" x14ac:dyDescent="0.25">
      <c r="A43" s="149"/>
      <c r="B43" s="146" t="s">
        <v>126</v>
      </c>
      <c r="C43" s="146"/>
      <c r="D43" s="146"/>
      <c r="E43" s="172">
        <f>SUM(E32:E42)</f>
        <v>29285081</v>
      </c>
      <c r="F43" s="166"/>
      <c r="G43" s="166"/>
      <c r="H43" s="167"/>
      <c r="I43" s="167"/>
      <c r="J43" s="167"/>
      <c r="K43" s="167"/>
      <c r="L43" s="166"/>
      <c r="M43" s="219"/>
      <c r="N43" s="167"/>
      <c r="O43" s="17"/>
      <c r="P43" s="17"/>
      <c r="Q43" s="17"/>
      <c r="R43" s="17"/>
    </row>
    <row r="44" spans="1:20" ht="16.5" x14ac:dyDescent="0.25">
      <c r="A44" s="149" t="s">
        <v>128</v>
      </c>
      <c r="B44" s="352" t="s">
        <v>127</v>
      </c>
      <c r="C44" s="352"/>
      <c r="D44" s="352"/>
      <c r="E44" s="178"/>
      <c r="F44" s="173"/>
      <c r="G44" s="173"/>
      <c r="H44" s="146"/>
      <c r="I44" s="146"/>
      <c r="J44" s="146"/>
      <c r="K44" s="146"/>
      <c r="L44" s="146"/>
      <c r="M44" s="217"/>
      <c r="N44" s="146"/>
      <c r="O44" s="18"/>
      <c r="P44" s="18"/>
      <c r="Q44" s="18"/>
      <c r="R44" s="18"/>
    </row>
    <row r="45" spans="1:20" ht="16.5" x14ac:dyDescent="0.25">
      <c r="A45" s="149"/>
      <c r="B45" s="147" t="s">
        <v>39</v>
      </c>
      <c r="C45" s="160"/>
      <c r="D45" s="161"/>
      <c r="E45" s="161"/>
      <c r="F45" s="169"/>
      <c r="G45" s="169"/>
      <c r="H45" s="160"/>
      <c r="I45" s="160"/>
      <c r="J45" s="160"/>
      <c r="K45" s="160"/>
      <c r="L45" s="147"/>
      <c r="M45" s="220"/>
      <c r="N45" s="147"/>
      <c r="O45" s="18"/>
      <c r="P45" s="18"/>
      <c r="Q45" s="18"/>
      <c r="R45" s="18"/>
    </row>
    <row r="46" spans="1:20" ht="16.5" x14ac:dyDescent="0.25">
      <c r="A46" s="149"/>
      <c r="B46" s="147" t="s">
        <v>40</v>
      </c>
      <c r="C46" s="160">
        <v>1</v>
      </c>
      <c r="D46" s="161">
        <v>1196296</v>
      </c>
      <c r="E46" s="161">
        <f>C46*D46</f>
        <v>1196296</v>
      </c>
      <c r="F46" s="163">
        <v>1</v>
      </c>
      <c r="G46" s="163">
        <v>1</v>
      </c>
      <c r="H46" s="163">
        <v>1</v>
      </c>
      <c r="I46" s="163">
        <v>1</v>
      </c>
      <c r="J46" s="163">
        <v>1</v>
      </c>
      <c r="K46" s="163">
        <v>1</v>
      </c>
      <c r="L46" s="163">
        <v>1</v>
      </c>
      <c r="M46" s="218"/>
      <c r="N46" s="164"/>
      <c r="O46" s="13"/>
      <c r="P46" s="13"/>
      <c r="Q46" s="13"/>
      <c r="R46" s="13"/>
    </row>
    <row r="47" spans="1:20" ht="16.5" x14ac:dyDescent="0.25">
      <c r="A47" s="149"/>
      <c r="B47" s="147" t="s">
        <v>41</v>
      </c>
      <c r="C47" s="160">
        <v>1</v>
      </c>
      <c r="D47" s="161">
        <v>598148</v>
      </c>
      <c r="E47" s="161">
        <f>C47*D47</f>
        <v>598148</v>
      </c>
      <c r="F47" s="163">
        <v>1</v>
      </c>
      <c r="G47" s="163">
        <v>1</v>
      </c>
      <c r="H47" s="163">
        <v>1</v>
      </c>
      <c r="I47" s="163">
        <v>1</v>
      </c>
      <c r="J47" s="163">
        <v>1</v>
      </c>
      <c r="K47" s="163">
        <v>1</v>
      </c>
      <c r="L47" s="163">
        <v>1</v>
      </c>
      <c r="M47" s="218"/>
      <c r="N47" s="164"/>
      <c r="O47" s="13"/>
      <c r="P47" s="13"/>
      <c r="Q47" s="13"/>
      <c r="R47" s="13"/>
    </row>
    <row r="48" spans="1:20" ht="16.5" x14ac:dyDescent="0.25">
      <c r="A48" s="149"/>
      <c r="B48" s="147" t="s">
        <v>42</v>
      </c>
      <c r="C48" s="160">
        <v>1</v>
      </c>
      <c r="D48" s="161">
        <v>598148</v>
      </c>
      <c r="E48" s="161">
        <f>C48*D48</f>
        <v>598148</v>
      </c>
      <c r="F48" s="163">
        <v>1</v>
      </c>
      <c r="G48" s="163">
        <v>1</v>
      </c>
      <c r="H48" s="163">
        <v>1</v>
      </c>
      <c r="I48" s="163">
        <v>1</v>
      </c>
      <c r="J48" s="163">
        <v>1</v>
      </c>
      <c r="K48" s="163">
        <v>1</v>
      </c>
      <c r="L48" s="163">
        <v>1</v>
      </c>
      <c r="M48" s="218"/>
      <c r="N48" s="164"/>
      <c r="O48" s="13"/>
      <c r="P48" s="13"/>
      <c r="Q48" s="13"/>
      <c r="R48" s="13"/>
    </row>
    <row r="49" spans="1:19" s="16" customFormat="1" ht="16.5" x14ac:dyDescent="0.25">
      <c r="A49" s="149"/>
      <c r="B49" s="146" t="s">
        <v>129</v>
      </c>
      <c r="C49" s="146"/>
      <c r="D49" s="146"/>
      <c r="E49" s="172">
        <f>SUM(E46:E48)</f>
        <v>2392592</v>
      </c>
      <c r="F49" s="166"/>
      <c r="G49" s="166"/>
      <c r="H49" s="167">
        <v>0</v>
      </c>
      <c r="I49" s="167"/>
      <c r="J49" s="167"/>
      <c r="K49" s="167"/>
      <c r="L49" s="166"/>
      <c r="M49" s="219"/>
      <c r="N49" s="167"/>
      <c r="O49" s="17"/>
      <c r="P49" s="17"/>
      <c r="Q49" s="17"/>
      <c r="R49" s="17"/>
    </row>
    <row r="50" spans="1:19" ht="16.5" x14ac:dyDescent="0.25">
      <c r="A50" s="149" t="s">
        <v>131</v>
      </c>
      <c r="B50" s="148" t="s">
        <v>130</v>
      </c>
      <c r="C50" s="160"/>
      <c r="D50" s="161"/>
      <c r="E50" s="161"/>
      <c r="F50" s="169"/>
      <c r="G50" s="169"/>
      <c r="H50" s="160"/>
      <c r="I50" s="160"/>
      <c r="J50" s="160"/>
      <c r="K50" s="160"/>
      <c r="L50" s="147"/>
      <c r="M50" s="220"/>
      <c r="N50" s="147"/>
      <c r="O50" s="18"/>
      <c r="P50" s="18"/>
      <c r="Q50" s="18"/>
      <c r="R50" s="18"/>
    </row>
    <row r="51" spans="1:19" ht="16.5" x14ac:dyDescent="0.25">
      <c r="A51" s="149" t="s">
        <v>133</v>
      </c>
      <c r="B51" s="148" t="s">
        <v>132</v>
      </c>
      <c r="C51" s="160"/>
      <c r="D51" s="161"/>
      <c r="E51" s="161"/>
      <c r="F51" s="169"/>
      <c r="G51" s="169"/>
      <c r="H51" s="160"/>
      <c r="I51" s="160"/>
      <c r="J51" s="160"/>
      <c r="K51" s="160"/>
      <c r="L51" s="147"/>
      <c r="M51" s="220"/>
      <c r="N51" s="147"/>
      <c r="O51" s="18"/>
      <c r="P51" s="18"/>
      <c r="Q51" s="18"/>
      <c r="R51" s="18"/>
    </row>
    <row r="52" spans="1:19" ht="16.5" x14ac:dyDescent="0.25">
      <c r="A52" s="149"/>
      <c r="B52" s="147" t="s">
        <v>45</v>
      </c>
      <c r="C52" s="160">
        <v>12</v>
      </c>
      <c r="D52" s="161">
        <v>89722</v>
      </c>
      <c r="E52" s="161">
        <f>C52*D52</f>
        <v>1076664</v>
      </c>
      <c r="F52" s="163">
        <v>0</v>
      </c>
      <c r="G52" s="163">
        <v>0</v>
      </c>
      <c r="H52" s="163">
        <v>0</v>
      </c>
      <c r="I52" s="163">
        <v>0</v>
      </c>
      <c r="J52" s="163">
        <v>1</v>
      </c>
      <c r="K52" s="163">
        <v>1</v>
      </c>
      <c r="L52" s="163">
        <v>1</v>
      </c>
      <c r="M52" s="218"/>
      <c r="N52" s="164"/>
      <c r="O52" s="13"/>
      <c r="P52" s="13"/>
      <c r="Q52" s="13"/>
      <c r="R52" s="13"/>
    </row>
    <row r="53" spans="1:19" ht="16.5" x14ac:dyDescent="0.25">
      <c r="A53" s="149"/>
      <c r="B53" s="304" t="s">
        <v>46</v>
      </c>
      <c r="C53" s="160">
        <v>3</v>
      </c>
      <c r="D53" s="161">
        <v>119630</v>
      </c>
      <c r="E53" s="161">
        <f>C53*D53</f>
        <v>358890</v>
      </c>
      <c r="F53" s="163">
        <v>0</v>
      </c>
      <c r="G53" s="163">
        <v>0</v>
      </c>
      <c r="H53" s="163">
        <v>0</v>
      </c>
      <c r="I53" s="163">
        <v>0</v>
      </c>
      <c r="J53" s="163">
        <v>0</v>
      </c>
      <c r="K53" s="163">
        <v>0</v>
      </c>
      <c r="L53" s="253">
        <v>1</v>
      </c>
      <c r="M53" s="218">
        <v>1</v>
      </c>
      <c r="N53" s="308">
        <v>358890</v>
      </c>
      <c r="O53" s="13"/>
      <c r="P53" s="13"/>
      <c r="Q53" s="13"/>
      <c r="R53" s="13"/>
    </row>
    <row r="54" spans="1:19" ht="16.5" x14ac:dyDescent="0.25">
      <c r="A54" s="149"/>
      <c r="B54" s="147" t="s">
        <v>47</v>
      </c>
      <c r="C54" s="160">
        <v>2</v>
      </c>
      <c r="D54" s="161">
        <v>193800</v>
      </c>
      <c r="E54" s="161">
        <f>C54*D54</f>
        <v>387600</v>
      </c>
      <c r="F54" s="163">
        <v>1</v>
      </c>
      <c r="G54" s="163">
        <v>1</v>
      </c>
      <c r="H54" s="163">
        <v>1</v>
      </c>
      <c r="I54" s="163">
        <v>1</v>
      </c>
      <c r="J54" s="163">
        <v>1</v>
      </c>
      <c r="K54" s="163">
        <v>1</v>
      </c>
      <c r="L54" s="163">
        <v>1</v>
      </c>
      <c r="M54" s="218"/>
      <c r="N54" s="164"/>
      <c r="O54" s="11"/>
      <c r="P54" s="11"/>
      <c r="Q54" s="11"/>
      <c r="R54" s="11"/>
    </row>
    <row r="55" spans="1:19" ht="16.5" x14ac:dyDescent="0.25">
      <c r="A55" s="149"/>
      <c r="B55" s="147" t="s">
        <v>48</v>
      </c>
      <c r="C55" s="160">
        <v>3</v>
      </c>
      <c r="D55" s="161">
        <v>119630</v>
      </c>
      <c r="E55" s="161">
        <f>C55*D55</f>
        <v>358890</v>
      </c>
      <c r="F55" s="163">
        <v>1</v>
      </c>
      <c r="G55" s="163">
        <v>1</v>
      </c>
      <c r="H55" s="163">
        <v>1</v>
      </c>
      <c r="I55" s="163">
        <v>1</v>
      </c>
      <c r="J55" s="163">
        <v>1</v>
      </c>
      <c r="K55" s="163">
        <v>1</v>
      </c>
      <c r="L55" s="163">
        <v>1</v>
      </c>
      <c r="M55" s="218"/>
      <c r="N55" s="164"/>
      <c r="O55" s="13"/>
      <c r="P55" s="13"/>
      <c r="Q55" s="13"/>
      <c r="R55" s="13"/>
      <c r="S55" s="16"/>
    </row>
    <row r="56" spans="1:19" ht="16.5" x14ac:dyDescent="0.25">
      <c r="A56" s="149"/>
      <c r="B56" s="147" t="s">
        <v>49</v>
      </c>
      <c r="C56" s="160">
        <v>2</v>
      </c>
      <c r="D56" s="161">
        <v>209352</v>
      </c>
      <c r="E56" s="161">
        <f>C56*D56</f>
        <v>418704</v>
      </c>
      <c r="F56" s="163">
        <v>1</v>
      </c>
      <c r="G56" s="163">
        <v>1</v>
      </c>
      <c r="H56" s="163">
        <v>1</v>
      </c>
      <c r="I56" s="163">
        <v>1</v>
      </c>
      <c r="J56" s="163">
        <v>1</v>
      </c>
      <c r="K56" s="163">
        <v>1</v>
      </c>
      <c r="L56" s="163">
        <v>1</v>
      </c>
      <c r="M56" s="218" t="s">
        <v>190</v>
      </c>
      <c r="N56" s="164"/>
      <c r="O56" s="13"/>
      <c r="P56" s="13"/>
      <c r="Q56" s="13"/>
      <c r="R56" s="13"/>
      <c r="S56" s="16"/>
    </row>
    <row r="57" spans="1:19" ht="16.5" x14ac:dyDescent="0.25">
      <c r="A57" s="149"/>
      <c r="B57" s="146" t="s">
        <v>50</v>
      </c>
      <c r="C57" s="146"/>
      <c r="D57" s="146"/>
      <c r="E57" s="172">
        <f>SUM(E52:E56)</f>
        <v>2600748</v>
      </c>
      <c r="F57" s="166"/>
      <c r="G57" s="166"/>
      <c r="H57" s="167">
        <v>0</v>
      </c>
      <c r="I57" s="167"/>
      <c r="J57" s="167"/>
      <c r="K57" s="167"/>
      <c r="L57" s="166"/>
      <c r="M57" s="219"/>
      <c r="N57" s="167"/>
      <c r="O57" s="17"/>
      <c r="P57" s="17"/>
      <c r="Q57" s="17"/>
      <c r="R57" s="17"/>
      <c r="S57" s="16"/>
    </row>
    <row r="58" spans="1:19" ht="16.5" x14ac:dyDescent="0.25">
      <c r="A58" s="149" t="s">
        <v>135</v>
      </c>
      <c r="B58" s="148" t="s">
        <v>134</v>
      </c>
      <c r="C58" s="160"/>
      <c r="D58" s="161"/>
      <c r="E58" s="161"/>
      <c r="F58" s="169"/>
      <c r="G58" s="169"/>
      <c r="H58" s="160"/>
      <c r="I58" s="160"/>
      <c r="J58" s="160"/>
      <c r="K58" s="160"/>
      <c r="L58" s="147"/>
      <c r="M58" s="220"/>
      <c r="N58" s="147"/>
      <c r="O58" s="18"/>
      <c r="P58" s="18"/>
      <c r="Q58" s="18"/>
      <c r="R58" s="18"/>
      <c r="S58" s="16"/>
    </row>
    <row r="59" spans="1:19" ht="16.5" x14ac:dyDescent="0.25">
      <c r="A59" s="149"/>
      <c r="B59" s="147" t="s">
        <v>52</v>
      </c>
      <c r="C59" s="160">
        <v>2</v>
      </c>
      <c r="D59" s="161">
        <v>412722</v>
      </c>
      <c r="E59" s="161">
        <f>C59*D59</f>
        <v>825444</v>
      </c>
      <c r="F59" s="163">
        <v>1</v>
      </c>
      <c r="G59" s="163">
        <v>1</v>
      </c>
      <c r="H59" s="163">
        <v>1</v>
      </c>
      <c r="I59" s="163">
        <v>1</v>
      </c>
      <c r="J59" s="163">
        <v>1</v>
      </c>
      <c r="K59" s="163">
        <v>1</v>
      </c>
      <c r="L59" s="163">
        <v>1</v>
      </c>
      <c r="M59" s="218"/>
      <c r="N59" s="164"/>
      <c r="O59" s="13"/>
      <c r="P59" s="13"/>
      <c r="Q59" s="13"/>
      <c r="R59" s="13"/>
      <c r="S59" s="16"/>
    </row>
    <row r="60" spans="1:19" ht="16.5" x14ac:dyDescent="0.25">
      <c r="A60" s="149"/>
      <c r="B60" s="147" t="s">
        <v>53</v>
      </c>
      <c r="C60" s="160">
        <v>1</v>
      </c>
      <c r="D60" s="161">
        <v>583793</v>
      </c>
      <c r="E60" s="161">
        <f>C60*D60</f>
        <v>583793</v>
      </c>
      <c r="F60" s="163">
        <v>1</v>
      </c>
      <c r="G60" s="163">
        <v>1</v>
      </c>
      <c r="H60" s="163">
        <v>1</v>
      </c>
      <c r="I60" s="163">
        <v>1</v>
      </c>
      <c r="J60" s="163">
        <v>1</v>
      </c>
      <c r="K60" s="163">
        <v>1</v>
      </c>
      <c r="L60" s="163">
        <v>1</v>
      </c>
      <c r="M60" s="218"/>
      <c r="N60" s="164"/>
      <c r="O60" s="13"/>
      <c r="P60" s="13"/>
      <c r="Q60" s="13"/>
      <c r="R60" s="13"/>
      <c r="S60" s="16"/>
    </row>
    <row r="61" spans="1:19" ht="16.5" x14ac:dyDescent="0.25">
      <c r="A61" s="149"/>
      <c r="B61" s="147" t="s">
        <v>164</v>
      </c>
      <c r="C61" s="160">
        <v>10</v>
      </c>
      <c r="D61" s="161">
        <v>67083</v>
      </c>
      <c r="E61" s="161">
        <f>C61*D61</f>
        <v>670830</v>
      </c>
      <c r="F61" s="163">
        <v>0.99999552794808844</v>
      </c>
      <c r="G61" s="163">
        <v>0.99999552794808844</v>
      </c>
      <c r="H61" s="163">
        <v>1</v>
      </c>
      <c r="I61" s="163">
        <v>1</v>
      </c>
      <c r="J61" s="163">
        <v>1</v>
      </c>
      <c r="K61" s="163">
        <v>1</v>
      </c>
      <c r="L61" s="163">
        <v>1</v>
      </c>
      <c r="M61" s="218"/>
      <c r="N61" s="164"/>
      <c r="O61" s="13"/>
      <c r="P61" s="13"/>
      <c r="Q61" s="13"/>
      <c r="R61" s="13"/>
      <c r="S61" s="16"/>
    </row>
    <row r="62" spans="1:19" ht="16.5" x14ac:dyDescent="0.25">
      <c r="A62" s="149"/>
      <c r="B62" s="147" t="s">
        <v>55</v>
      </c>
      <c r="C62" s="160">
        <v>8</v>
      </c>
      <c r="D62" s="161">
        <v>78333</v>
      </c>
      <c r="E62" s="161">
        <f>C62*D62</f>
        <v>626664</v>
      </c>
      <c r="F62" s="163">
        <v>0.99999521276850389</v>
      </c>
      <c r="G62" s="163">
        <v>0.99999521276850389</v>
      </c>
      <c r="H62" s="163">
        <v>1</v>
      </c>
      <c r="I62" s="163">
        <v>1</v>
      </c>
      <c r="J62" s="163">
        <v>1</v>
      </c>
      <c r="K62" s="163">
        <v>1</v>
      </c>
      <c r="L62" s="163">
        <v>1</v>
      </c>
      <c r="M62" s="218"/>
      <c r="N62" s="164"/>
      <c r="O62" s="13"/>
      <c r="P62" s="13"/>
      <c r="Q62" s="13"/>
      <c r="R62" s="13"/>
      <c r="S62" s="16"/>
    </row>
    <row r="63" spans="1:19" ht="16.5" x14ac:dyDescent="0.25">
      <c r="A63" s="149"/>
      <c r="B63" s="147" t="s">
        <v>56</v>
      </c>
      <c r="C63" s="160">
        <v>1</v>
      </c>
      <c r="D63" s="161">
        <v>6447074</v>
      </c>
      <c r="E63" s="161">
        <f>C63*D63</f>
        <v>6447074</v>
      </c>
      <c r="F63" s="163">
        <v>1</v>
      </c>
      <c r="G63" s="163">
        <v>1</v>
      </c>
      <c r="H63" s="163">
        <v>1</v>
      </c>
      <c r="I63" s="163">
        <v>1</v>
      </c>
      <c r="J63" s="163">
        <v>1</v>
      </c>
      <c r="K63" s="163">
        <v>1</v>
      </c>
      <c r="L63" s="163">
        <v>1</v>
      </c>
      <c r="M63" s="218"/>
      <c r="N63" s="164"/>
      <c r="O63" s="13"/>
      <c r="P63" s="13"/>
      <c r="Q63" s="13"/>
      <c r="R63" s="13"/>
      <c r="S63" s="16"/>
    </row>
    <row r="64" spans="1:19" s="16" customFormat="1" ht="16.5" x14ac:dyDescent="0.25">
      <c r="A64" s="149"/>
      <c r="B64" s="146" t="s">
        <v>57</v>
      </c>
      <c r="C64" s="146"/>
      <c r="D64" s="146"/>
      <c r="E64" s="172">
        <f>SUM(E59:E63)</f>
        <v>9153805</v>
      </c>
      <c r="F64" s="166"/>
      <c r="G64" s="166"/>
      <c r="H64" s="167">
        <v>0</v>
      </c>
      <c r="I64" s="167"/>
      <c r="J64" s="167"/>
      <c r="K64" s="167"/>
      <c r="L64" s="166"/>
      <c r="M64" s="219"/>
      <c r="N64" s="167"/>
      <c r="O64" s="17"/>
      <c r="P64" s="17"/>
      <c r="Q64" s="17"/>
      <c r="R64" s="17"/>
    </row>
    <row r="65" spans="1:19" ht="16.5" x14ac:dyDescent="0.25">
      <c r="A65" s="149" t="s">
        <v>136</v>
      </c>
      <c r="B65" s="148" t="s">
        <v>173</v>
      </c>
      <c r="C65" s="160"/>
      <c r="D65" s="161"/>
      <c r="E65" s="161"/>
      <c r="F65" s="169"/>
      <c r="G65" s="169"/>
      <c r="H65" s="160"/>
      <c r="I65" s="160"/>
      <c r="J65" s="160"/>
      <c r="K65" s="160"/>
      <c r="L65" s="147"/>
      <c r="M65" s="220"/>
      <c r="N65" s="147"/>
      <c r="O65" s="18"/>
      <c r="P65" s="18"/>
      <c r="Q65" s="18"/>
      <c r="R65" s="18"/>
      <c r="S65" s="16"/>
    </row>
    <row r="66" spans="1:19" ht="16.5" x14ac:dyDescent="0.25">
      <c r="A66" s="149"/>
      <c r="B66" s="147" t="s">
        <v>165</v>
      </c>
      <c r="C66" s="160">
        <v>16</v>
      </c>
      <c r="D66" s="161">
        <v>74170</v>
      </c>
      <c r="E66" s="161">
        <f>C66*D66</f>
        <v>1186720</v>
      </c>
      <c r="F66" s="163">
        <v>0</v>
      </c>
      <c r="G66" s="163">
        <v>0</v>
      </c>
      <c r="H66" s="163">
        <v>0</v>
      </c>
      <c r="I66" s="163">
        <v>0</v>
      </c>
      <c r="J66" s="163">
        <v>0</v>
      </c>
      <c r="K66" s="163">
        <v>0</v>
      </c>
      <c r="L66" s="253">
        <v>1</v>
      </c>
      <c r="M66" s="218">
        <v>1</v>
      </c>
      <c r="N66" s="308">
        <v>1186720</v>
      </c>
      <c r="O66" s="13"/>
      <c r="P66" s="13"/>
      <c r="Q66" s="13"/>
      <c r="R66" s="13"/>
      <c r="S66" s="16"/>
    </row>
    <row r="67" spans="1:19" ht="16.5" x14ac:dyDescent="0.25">
      <c r="A67" s="149"/>
      <c r="B67" s="147" t="s">
        <v>58</v>
      </c>
      <c r="C67" s="160">
        <v>6</v>
      </c>
      <c r="D67" s="161">
        <v>227296</v>
      </c>
      <c r="E67" s="161">
        <f>C67*D67</f>
        <v>1363776</v>
      </c>
      <c r="F67" s="163">
        <v>0</v>
      </c>
      <c r="G67" s="163">
        <v>0</v>
      </c>
      <c r="H67" s="163">
        <v>0</v>
      </c>
      <c r="I67" s="163">
        <v>0</v>
      </c>
      <c r="J67" s="163">
        <v>0.99999853348565526</v>
      </c>
      <c r="K67" s="163">
        <v>0.99999853348565526</v>
      </c>
      <c r="L67" s="163">
        <v>1</v>
      </c>
      <c r="M67" s="218"/>
      <c r="N67" s="164"/>
      <c r="O67" s="13"/>
      <c r="P67" s="13"/>
      <c r="Q67" s="13"/>
      <c r="R67" s="13"/>
      <c r="S67" s="16"/>
    </row>
    <row r="68" spans="1:19" s="16" customFormat="1" ht="16.5" x14ac:dyDescent="0.25">
      <c r="A68" s="149"/>
      <c r="B68" s="146" t="s">
        <v>59</v>
      </c>
      <c r="C68" s="146"/>
      <c r="D68" s="146"/>
      <c r="E68" s="172">
        <f>SUM(E66:E67)</f>
        <v>2550496</v>
      </c>
      <c r="F68" s="166"/>
      <c r="G68" s="166"/>
      <c r="H68" s="167">
        <v>0</v>
      </c>
      <c r="I68" s="167"/>
      <c r="J68" s="167"/>
      <c r="K68" s="167"/>
      <c r="L68" s="166"/>
      <c r="M68" s="219"/>
      <c r="N68" s="168">
        <v>1186720</v>
      </c>
      <c r="O68" s="17"/>
      <c r="P68" s="17"/>
      <c r="Q68" s="17"/>
      <c r="R68" s="17"/>
    </row>
    <row r="69" spans="1:19" ht="16.5" x14ac:dyDescent="0.25">
      <c r="A69" s="149" t="s">
        <v>138</v>
      </c>
      <c r="B69" s="148" t="s">
        <v>137</v>
      </c>
      <c r="C69" s="160"/>
      <c r="D69" s="161"/>
      <c r="E69" s="161"/>
      <c r="F69" s="169"/>
      <c r="G69" s="169"/>
      <c r="H69" s="160"/>
      <c r="I69" s="160"/>
      <c r="J69" s="160"/>
      <c r="K69" s="160"/>
      <c r="L69" s="147"/>
      <c r="M69" s="220"/>
      <c r="N69" s="147"/>
      <c r="O69" s="18"/>
      <c r="P69" s="18"/>
      <c r="Q69" s="18"/>
      <c r="R69" s="18"/>
      <c r="S69" s="16"/>
    </row>
    <row r="70" spans="1:19" ht="16.5" x14ac:dyDescent="0.25">
      <c r="A70" s="149"/>
      <c r="B70" s="147" t="s">
        <v>166</v>
      </c>
      <c r="C70" s="160">
        <v>6</v>
      </c>
      <c r="D70" s="161">
        <v>133656</v>
      </c>
      <c r="E70" s="161">
        <f>C70*D70</f>
        <v>801936</v>
      </c>
      <c r="F70" s="163">
        <v>1</v>
      </c>
      <c r="G70" s="163">
        <v>1</v>
      </c>
      <c r="H70" s="163">
        <v>1</v>
      </c>
      <c r="I70" s="163">
        <v>1</v>
      </c>
      <c r="J70" s="163">
        <v>1</v>
      </c>
      <c r="K70" s="163">
        <v>1</v>
      </c>
      <c r="L70" s="163">
        <v>1</v>
      </c>
      <c r="M70" s="218"/>
      <c r="N70" s="164"/>
      <c r="O70" s="13"/>
      <c r="P70" s="13"/>
      <c r="Q70" s="13"/>
      <c r="R70" s="13"/>
      <c r="S70" s="16"/>
    </row>
    <row r="71" spans="1:19" ht="16.5" x14ac:dyDescent="0.25">
      <c r="A71" s="149"/>
      <c r="B71" s="179" t="s">
        <v>61</v>
      </c>
      <c r="C71" s="160">
        <v>2</v>
      </c>
      <c r="D71" s="161">
        <v>466556</v>
      </c>
      <c r="E71" s="161">
        <f>C71*D71</f>
        <v>933112</v>
      </c>
      <c r="F71" s="163">
        <v>1</v>
      </c>
      <c r="G71" s="163">
        <v>1</v>
      </c>
      <c r="H71" s="163">
        <v>1</v>
      </c>
      <c r="I71" s="163">
        <v>1</v>
      </c>
      <c r="J71" s="163">
        <v>1</v>
      </c>
      <c r="K71" s="163">
        <v>1</v>
      </c>
      <c r="L71" s="163">
        <v>1</v>
      </c>
      <c r="M71" s="218"/>
      <c r="N71" s="164"/>
      <c r="O71" s="13"/>
      <c r="P71" s="13"/>
      <c r="Q71" s="13"/>
      <c r="R71" s="13"/>
      <c r="S71" s="16"/>
    </row>
    <row r="72" spans="1:19" ht="16.5" x14ac:dyDescent="0.25">
      <c r="A72" s="149"/>
      <c r="B72" s="146" t="s">
        <v>62</v>
      </c>
      <c r="C72" s="146"/>
      <c r="D72" s="146"/>
      <c r="E72" s="172">
        <f>SUM(E70:E71)</f>
        <v>1735048</v>
      </c>
      <c r="F72" s="166"/>
      <c r="G72" s="166"/>
      <c r="H72" s="167">
        <v>0</v>
      </c>
      <c r="I72" s="167"/>
      <c r="J72" s="167"/>
      <c r="K72" s="167"/>
      <c r="L72" s="166"/>
      <c r="M72" s="219"/>
      <c r="N72" s="167"/>
      <c r="O72" s="17"/>
      <c r="P72" s="17"/>
      <c r="Q72" s="17"/>
      <c r="R72" s="17"/>
      <c r="S72" s="16"/>
    </row>
    <row r="73" spans="1:19" ht="16.5" x14ac:dyDescent="0.25">
      <c r="A73" s="149" t="s">
        <v>140</v>
      </c>
      <c r="B73" s="178" t="s">
        <v>139</v>
      </c>
      <c r="C73" s="160"/>
      <c r="D73" s="161"/>
      <c r="E73" s="161"/>
      <c r="F73" s="169"/>
      <c r="G73" s="169"/>
      <c r="H73" s="160"/>
      <c r="I73" s="160"/>
      <c r="J73" s="160"/>
      <c r="K73" s="160"/>
      <c r="L73" s="147"/>
      <c r="M73" s="220"/>
      <c r="N73" s="147"/>
      <c r="O73" s="18"/>
      <c r="P73" s="18"/>
      <c r="Q73" s="18"/>
      <c r="R73" s="18"/>
      <c r="S73" s="16"/>
    </row>
    <row r="74" spans="1:19" ht="16.5" x14ac:dyDescent="0.25">
      <c r="A74" s="149"/>
      <c r="B74" s="179" t="s">
        <v>95</v>
      </c>
      <c r="C74" s="160">
        <v>3</v>
      </c>
      <c r="D74" s="161">
        <v>171070</v>
      </c>
      <c r="E74" s="161">
        <f>C74*D74</f>
        <v>513210</v>
      </c>
      <c r="F74" s="163">
        <v>1</v>
      </c>
      <c r="G74" s="163">
        <v>1</v>
      </c>
      <c r="H74" s="163">
        <v>1</v>
      </c>
      <c r="I74" s="163">
        <v>1</v>
      </c>
      <c r="J74" s="163">
        <v>1</v>
      </c>
      <c r="K74" s="163">
        <v>1</v>
      </c>
      <c r="L74" s="163">
        <v>1</v>
      </c>
      <c r="M74" s="218"/>
      <c r="N74" s="164"/>
      <c r="O74" s="13"/>
      <c r="P74" s="13"/>
      <c r="Q74" s="13"/>
      <c r="R74" s="13"/>
      <c r="S74" s="16"/>
    </row>
    <row r="75" spans="1:19" ht="16.5" x14ac:dyDescent="0.25">
      <c r="A75" s="149"/>
      <c r="B75" s="179" t="s">
        <v>97</v>
      </c>
      <c r="C75" s="160">
        <v>1</v>
      </c>
      <c r="D75" s="161">
        <v>215333</v>
      </c>
      <c r="E75" s="161">
        <f>C75*D75</f>
        <v>215333</v>
      </c>
      <c r="F75" s="163">
        <v>0</v>
      </c>
      <c r="G75" s="163">
        <v>0</v>
      </c>
      <c r="H75" s="163">
        <v>0</v>
      </c>
      <c r="I75" s="163">
        <v>0</v>
      </c>
      <c r="J75" s="163">
        <v>1</v>
      </c>
      <c r="K75" s="163">
        <v>1</v>
      </c>
      <c r="L75" s="163">
        <v>1</v>
      </c>
      <c r="M75" s="218"/>
      <c r="N75" s="164"/>
      <c r="O75" s="13"/>
      <c r="P75" s="13"/>
      <c r="Q75" s="13"/>
      <c r="R75" s="13"/>
      <c r="S75" s="16"/>
    </row>
    <row r="76" spans="1:19" ht="16.5" x14ac:dyDescent="0.25">
      <c r="A76" s="149"/>
      <c r="B76" s="179" t="s">
        <v>64</v>
      </c>
      <c r="C76" s="160">
        <v>40</v>
      </c>
      <c r="D76" s="161">
        <v>35291</v>
      </c>
      <c r="E76" s="161">
        <f>C76*D76</f>
        <v>1411640</v>
      </c>
      <c r="F76" s="163">
        <v>0</v>
      </c>
      <c r="G76" s="163">
        <v>0</v>
      </c>
      <c r="H76" s="163">
        <v>0</v>
      </c>
      <c r="I76" s="163">
        <v>0</v>
      </c>
      <c r="J76" s="163">
        <v>1.0000070840092659</v>
      </c>
      <c r="K76" s="163">
        <v>1</v>
      </c>
      <c r="L76" s="163">
        <v>1</v>
      </c>
      <c r="M76" s="218"/>
      <c r="N76" s="164"/>
      <c r="O76" s="13"/>
      <c r="P76" s="13"/>
      <c r="Q76" s="13"/>
      <c r="R76" s="13"/>
      <c r="S76" s="16"/>
    </row>
    <row r="77" spans="1:19" ht="16.5" x14ac:dyDescent="0.25">
      <c r="A77" s="149"/>
      <c r="B77" s="179" t="s">
        <v>96</v>
      </c>
      <c r="C77" s="160">
        <v>50</v>
      </c>
      <c r="D77" s="161">
        <v>23926</v>
      </c>
      <c r="E77" s="161">
        <f>C77*D77</f>
        <v>1196300</v>
      </c>
      <c r="F77" s="163">
        <v>0</v>
      </c>
      <c r="G77" s="163">
        <v>0</v>
      </c>
      <c r="H77" s="163">
        <v>0</v>
      </c>
      <c r="I77" s="163">
        <v>0</v>
      </c>
      <c r="J77" s="163">
        <v>0</v>
      </c>
      <c r="K77" s="163">
        <v>0</v>
      </c>
      <c r="L77" s="253">
        <v>1</v>
      </c>
      <c r="M77" s="218">
        <v>1</v>
      </c>
      <c r="N77" s="308">
        <v>1196300</v>
      </c>
      <c r="O77" s="13"/>
      <c r="P77" s="13"/>
      <c r="Q77" s="13"/>
      <c r="R77" s="13"/>
      <c r="S77" s="16"/>
    </row>
    <row r="78" spans="1:19" ht="16.5" x14ac:dyDescent="0.25">
      <c r="A78" s="149"/>
      <c r="B78" s="179" t="s">
        <v>65</v>
      </c>
      <c r="C78" s="160">
        <v>18</v>
      </c>
      <c r="D78" s="161">
        <v>118433</v>
      </c>
      <c r="E78" s="161">
        <f>C78*D78</f>
        <v>2131794</v>
      </c>
      <c r="F78" s="163">
        <v>0</v>
      </c>
      <c r="G78" s="163">
        <v>0</v>
      </c>
      <c r="H78" s="163">
        <v>0</v>
      </c>
      <c r="I78" s="163">
        <v>0</v>
      </c>
      <c r="J78" s="163">
        <v>0.99999718547706162</v>
      </c>
      <c r="K78" s="163">
        <v>1</v>
      </c>
      <c r="L78" s="163">
        <v>1</v>
      </c>
      <c r="M78" s="218"/>
      <c r="N78" s="164"/>
      <c r="O78" s="13"/>
      <c r="P78" s="13"/>
      <c r="Q78" s="13"/>
      <c r="R78" s="13"/>
      <c r="S78" s="16"/>
    </row>
    <row r="79" spans="1:19" s="16" customFormat="1" ht="16.5" x14ac:dyDescent="0.25">
      <c r="A79" s="149"/>
      <c r="B79" s="146" t="s">
        <v>66</v>
      </c>
      <c r="C79" s="146"/>
      <c r="D79" s="146"/>
      <c r="E79" s="172">
        <f>SUM(E74:E78)</f>
        <v>5468277</v>
      </c>
      <c r="F79" s="166"/>
      <c r="G79" s="166"/>
      <c r="H79" s="167">
        <v>0</v>
      </c>
      <c r="I79" s="167"/>
      <c r="J79" s="167"/>
      <c r="K79" s="167"/>
      <c r="L79" s="166"/>
      <c r="M79" s="219"/>
      <c r="N79" s="167"/>
      <c r="O79" s="17"/>
      <c r="P79" s="17"/>
      <c r="Q79" s="17"/>
      <c r="R79" s="17"/>
    </row>
    <row r="80" spans="1:19" ht="16.5" x14ac:dyDescent="0.25">
      <c r="A80" s="149"/>
      <c r="B80" s="146" t="s">
        <v>67</v>
      </c>
      <c r="C80" s="146"/>
      <c r="D80" s="146"/>
      <c r="E80" s="146"/>
      <c r="F80" s="169"/>
      <c r="G80" s="169"/>
      <c r="H80" s="160"/>
      <c r="I80" s="160"/>
      <c r="J80" s="160"/>
      <c r="K80" s="160"/>
      <c r="L80" s="147"/>
      <c r="M80" s="220"/>
      <c r="N80" s="147"/>
      <c r="O80" s="18"/>
      <c r="P80" s="18"/>
      <c r="Q80" s="18"/>
      <c r="R80" s="18"/>
      <c r="S80" s="16"/>
    </row>
    <row r="81" spans="1:19" ht="16.5" x14ac:dyDescent="0.25">
      <c r="A81" s="149"/>
      <c r="B81" s="147"/>
      <c r="C81" s="160"/>
      <c r="D81" s="161"/>
      <c r="E81" s="161"/>
      <c r="F81" s="169"/>
      <c r="G81" s="169"/>
      <c r="H81" s="160"/>
      <c r="I81" s="160"/>
      <c r="J81" s="160"/>
      <c r="K81" s="160"/>
      <c r="L81" s="147"/>
      <c r="M81" s="220"/>
      <c r="N81" s="147"/>
      <c r="O81" s="18"/>
      <c r="P81" s="18"/>
      <c r="Q81" s="18"/>
      <c r="R81" s="18"/>
      <c r="S81" s="16"/>
    </row>
    <row r="82" spans="1:19" ht="16.5" x14ac:dyDescent="0.25">
      <c r="A82" s="149" t="s">
        <v>142</v>
      </c>
      <c r="B82" s="352" t="s">
        <v>141</v>
      </c>
      <c r="C82" s="352"/>
      <c r="D82" s="352"/>
      <c r="E82" s="178"/>
      <c r="F82" s="169"/>
      <c r="G82" s="169"/>
      <c r="H82" s="160"/>
      <c r="I82" s="160"/>
      <c r="J82" s="160"/>
      <c r="K82" s="160"/>
      <c r="L82" s="147"/>
      <c r="M82" s="220"/>
      <c r="N82" s="147"/>
      <c r="O82" s="18"/>
      <c r="P82" s="18"/>
      <c r="Q82" s="18"/>
      <c r="R82" s="18"/>
      <c r="S82" s="16"/>
    </row>
    <row r="83" spans="1:19" ht="16.5" x14ac:dyDescent="0.25">
      <c r="A83" s="149"/>
      <c r="B83" s="147" t="s">
        <v>69</v>
      </c>
      <c r="C83" s="160">
        <v>12</v>
      </c>
      <c r="D83" s="161">
        <v>95704</v>
      </c>
      <c r="E83" s="161">
        <f>C83*D83</f>
        <v>1148448</v>
      </c>
      <c r="F83" s="163">
        <v>1</v>
      </c>
      <c r="G83" s="163">
        <v>1</v>
      </c>
      <c r="H83" s="163">
        <v>1</v>
      </c>
      <c r="I83" s="163">
        <v>1</v>
      </c>
      <c r="J83" s="163">
        <v>1</v>
      </c>
      <c r="K83" s="163">
        <v>1</v>
      </c>
      <c r="L83" s="163">
        <v>1</v>
      </c>
      <c r="M83" s="218"/>
      <c r="N83" s="164"/>
      <c r="O83" s="13"/>
      <c r="P83" s="13"/>
      <c r="Q83" s="13"/>
      <c r="R83" s="13"/>
      <c r="S83" s="16"/>
    </row>
    <row r="84" spans="1:19" s="16" customFormat="1" ht="16.5" x14ac:dyDescent="0.25">
      <c r="A84" s="149"/>
      <c r="B84" s="147" t="s">
        <v>172</v>
      </c>
      <c r="C84" s="160">
        <v>36</v>
      </c>
      <c r="D84" s="161">
        <v>47852</v>
      </c>
      <c r="E84" s="161">
        <f>C84*D84</f>
        <v>1722672</v>
      </c>
      <c r="F84" s="163">
        <v>1</v>
      </c>
      <c r="G84" s="163">
        <v>1</v>
      </c>
      <c r="H84" s="163">
        <v>1</v>
      </c>
      <c r="I84" s="163">
        <v>1</v>
      </c>
      <c r="J84" s="163">
        <v>1</v>
      </c>
      <c r="K84" s="163">
        <v>1</v>
      </c>
      <c r="L84" s="163">
        <v>1</v>
      </c>
      <c r="M84" s="218"/>
      <c r="N84" s="164"/>
      <c r="O84" s="13"/>
      <c r="P84" s="13"/>
      <c r="Q84" s="13"/>
      <c r="R84" s="13"/>
    </row>
    <row r="85" spans="1:19" s="16" customFormat="1" ht="16.5" x14ac:dyDescent="0.25">
      <c r="A85" s="149"/>
      <c r="B85" s="146" t="s">
        <v>70</v>
      </c>
      <c r="C85" s="180"/>
      <c r="D85" s="180"/>
      <c r="E85" s="181">
        <f>SUM(E83:E84)</f>
        <v>2871120</v>
      </c>
      <c r="F85" s="163"/>
      <c r="G85" s="163"/>
      <c r="H85" s="182">
        <v>0</v>
      </c>
      <c r="I85" s="182"/>
      <c r="J85" s="182"/>
      <c r="K85" s="182"/>
      <c r="L85" s="166"/>
      <c r="M85" s="219"/>
      <c r="N85" s="167"/>
      <c r="O85" s="13"/>
      <c r="P85" s="13"/>
      <c r="Q85" s="13"/>
      <c r="R85" s="13"/>
    </row>
    <row r="86" spans="1:19" s="16" customFormat="1" ht="33" x14ac:dyDescent="0.25">
      <c r="A86" s="149"/>
      <c r="B86" s="183" t="s">
        <v>148</v>
      </c>
      <c r="C86" s="160"/>
      <c r="D86" s="161"/>
      <c r="E86" s="165">
        <f>E85+E79+E72+E68+E64+E57+E49+E43+E28+E23+E19+E9</f>
        <v>161577077</v>
      </c>
      <c r="F86" s="163"/>
      <c r="G86" s="163"/>
      <c r="H86" s="184">
        <v>8.1885260246442979E-2</v>
      </c>
      <c r="I86" s="184"/>
      <c r="J86" s="184"/>
      <c r="K86" s="184"/>
      <c r="L86" s="185"/>
      <c r="M86" s="222"/>
      <c r="N86" s="186">
        <v>8493104</v>
      </c>
      <c r="O86" s="14"/>
      <c r="P86" s="14"/>
      <c r="Q86" s="14"/>
      <c r="R86" s="14"/>
    </row>
    <row r="87" spans="1:19" s="16" customFormat="1" ht="29.25" customHeight="1" x14ac:dyDescent="0.25">
      <c r="A87" s="149"/>
      <c r="B87" s="145" t="s">
        <v>187</v>
      </c>
      <c r="C87" s="160">
        <v>1</v>
      </c>
      <c r="D87" s="187">
        <v>56551979</v>
      </c>
      <c r="E87" s="165">
        <v>56551979</v>
      </c>
      <c r="F87" s="163" t="e">
        <f>#REF!</f>
        <v>#REF!</v>
      </c>
      <c r="G87" s="163">
        <v>0.22604131324917912</v>
      </c>
      <c r="H87" s="188">
        <v>0.31</v>
      </c>
      <c r="I87" s="163">
        <v>0.62</v>
      </c>
      <c r="J87" s="163">
        <v>0.7</v>
      </c>
      <c r="K87" s="163">
        <v>0.95</v>
      </c>
      <c r="L87" s="254">
        <v>1</v>
      </c>
      <c r="M87" s="223">
        <v>5.2563882866062062E-2</v>
      </c>
      <c r="N87" s="309">
        <f>N86*0.35</f>
        <v>2972586.4</v>
      </c>
      <c r="O87" s="14"/>
      <c r="P87" s="14"/>
      <c r="Q87" s="14"/>
      <c r="R87" s="14"/>
    </row>
    <row r="88" spans="1:19" ht="16.5" x14ac:dyDescent="0.25">
      <c r="A88" s="149" t="s">
        <v>144</v>
      </c>
      <c r="B88" s="148" t="s">
        <v>143</v>
      </c>
      <c r="C88" s="160"/>
      <c r="D88" s="161"/>
      <c r="E88" s="161"/>
      <c r="F88" s="169"/>
      <c r="G88" s="169"/>
      <c r="H88" s="160"/>
      <c r="I88" s="160"/>
      <c r="J88" s="160"/>
      <c r="K88" s="160"/>
      <c r="L88" s="147"/>
      <c r="M88" s="220"/>
      <c r="N88" s="147"/>
      <c r="O88" s="13"/>
      <c r="P88" s="13"/>
      <c r="Q88" s="13"/>
      <c r="R88" s="13"/>
    </row>
    <row r="89" spans="1:19" ht="33" x14ac:dyDescent="0.25">
      <c r="A89" s="149"/>
      <c r="B89" s="145" t="s">
        <v>71</v>
      </c>
      <c r="C89" s="160">
        <v>1</v>
      </c>
      <c r="D89" s="161">
        <v>2924789</v>
      </c>
      <c r="E89" s="161">
        <f>C89*D89</f>
        <v>2924789</v>
      </c>
      <c r="F89" s="189">
        <v>0</v>
      </c>
      <c r="G89" s="189">
        <v>0</v>
      </c>
      <c r="H89" s="190">
        <v>1</v>
      </c>
      <c r="I89" s="190">
        <v>1</v>
      </c>
      <c r="J89" s="190">
        <v>1</v>
      </c>
      <c r="K89" s="190">
        <v>1</v>
      </c>
      <c r="L89" s="163">
        <v>1</v>
      </c>
      <c r="M89" s="218"/>
      <c r="N89" s="164"/>
      <c r="O89" s="13"/>
      <c r="P89" s="13"/>
      <c r="Q89" s="13"/>
      <c r="R89" s="13"/>
    </row>
    <row r="90" spans="1:19" ht="33" x14ac:dyDescent="0.25">
      <c r="A90" s="149"/>
      <c r="B90" s="145" t="s">
        <v>72</v>
      </c>
      <c r="C90" s="160">
        <v>1</v>
      </c>
      <c r="D90" s="161">
        <v>3788875</v>
      </c>
      <c r="E90" s="161">
        <f>C90*D90</f>
        <v>3788875</v>
      </c>
      <c r="F90" s="189">
        <v>0</v>
      </c>
      <c r="G90" s="189">
        <v>0</v>
      </c>
      <c r="H90" s="190">
        <v>1</v>
      </c>
      <c r="I90" s="190">
        <v>1</v>
      </c>
      <c r="J90" s="190">
        <v>1</v>
      </c>
      <c r="K90" s="190">
        <v>1</v>
      </c>
      <c r="L90" s="163">
        <v>1</v>
      </c>
      <c r="M90" s="218"/>
      <c r="N90" s="164"/>
      <c r="O90" s="13"/>
      <c r="P90" s="13"/>
      <c r="Q90" s="13"/>
      <c r="R90" s="13"/>
    </row>
    <row r="91" spans="1:19" ht="16.5" x14ac:dyDescent="0.25">
      <c r="A91" s="149"/>
      <c r="B91" s="145" t="s">
        <v>188</v>
      </c>
      <c r="C91" s="160">
        <v>1</v>
      </c>
      <c r="D91" s="161">
        <v>31423246</v>
      </c>
      <c r="E91" s="161">
        <f>C91*D91</f>
        <v>31423246</v>
      </c>
      <c r="F91" s="189">
        <v>0.2</v>
      </c>
      <c r="G91" s="189">
        <v>0</v>
      </c>
      <c r="H91" s="190">
        <v>0</v>
      </c>
      <c r="I91" s="190">
        <v>0.2</v>
      </c>
      <c r="J91" s="190">
        <v>0.5</v>
      </c>
      <c r="K91" s="190">
        <v>0.7</v>
      </c>
      <c r="L91" s="253">
        <v>1</v>
      </c>
      <c r="M91" s="218">
        <v>0.30000000000000004</v>
      </c>
      <c r="N91" s="308">
        <v>9426973.8000000007</v>
      </c>
      <c r="O91" s="13"/>
      <c r="P91" s="13"/>
      <c r="Q91" s="13"/>
      <c r="R91" s="13"/>
    </row>
    <row r="92" spans="1:19" ht="30" customHeight="1" x14ac:dyDescent="0.25">
      <c r="A92" s="149"/>
      <c r="B92" s="145" t="s">
        <v>74</v>
      </c>
      <c r="C92" s="160">
        <v>1</v>
      </c>
      <c r="D92" s="161">
        <v>9326567</v>
      </c>
      <c r="E92" s="161">
        <f>C92*D92</f>
        <v>9326567</v>
      </c>
      <c r="F92" s="189">
        <v>0</v>
      </c>
      <c r="G92" s="189">
        <v>0</v>
      </c>
      <c r="H92" s="190">
        <v>0</v>
      </c>
      <c r="I92" s="190">
        <v>0</v>
      </c>
      <c r="J92" s="190">
        <v>0</v>
      </c>
      <c r="K92" s="190">
        <v>0.34</v>
      </c>
      <c r="L92" s="253">
        <v>1</v>
      </c>
      <c r="M92" s="218">
        <v>0.65999999999999992</v>
      </c>
      <c r="N92" s="308">
        <v>6155534.2199999988</v>
      </c>
      <c r="O92" s="13"/>
      <c r="P92" s="13"/>
      <c r="Q92" s="13"/>
      <c r="R92" s="13"/>
    </row>
    <row r="93" spans="1:19" ht="18.75" x14ac:dyDescent="0.25">
      <c r="A93" s="149"/>
      <c r="B93" s="191" t="s">
        <v>168</v>
      </c>
      <c r="C93" s="160">
        <v>1</v>
      </c>
      <c r="D93" s="161">
        <v>9750000</v>
      </c>
      <c r="E93" s="161">
        <f>C93*D93</f>
        <v>9750000</v>
      </c>
      <c r="F93" s="189">
        <v>0.33333333333333331</v>
      </c>
      <c r="G93" s="189">
        <v>0.33333333333333331</v>
      </c>
      <c r="H93" s="190">
        <v>0.57999999999999996</v>
      </c>
      <c r="I93" s="190">
        <v>0.79</v>
      </c>
      <c r="J93" s="190">
        <v>0.89</v>
      </c>
      <c r="K93" s="190">
        <v>0.95</v>
      </c>
      <c r="L93" s="253">
        <v>1</v>
      </c>
      <c r="M93" s="311">
        <v>4.6699999999999998E-2</v>
      </c>
      <c r="N93" s="308">
        <f>E93*M93</f>
        <v>455325</v>
      </c>
      <c r="O93" s="14"/>
      <c r="P93" s="14"/>
      <c r="Q93" s="14"/>
      <c r="R93" s="14"/>
    </row>
    <row r="94" spans="1:19" s="16" customFormat="1" ht="16.5" x14ac:dyDescent="0.25">
      <c r="A94" s="149"/>
      <c r="B94" s="353" t="s">
        <v>145</v>
      </c>
      <c r="C94" s="353"/>
      <c r="D94" s="353"/>
      <c r="E94" s="192">
        <f>SUM(E89:E93)</f>
        <v>57213477</v>
      </c>
      <c r="F94" s="193"/>
      <c r="G94" s="193"/>
      <c r="H94" s="194"/>
      <c r="I94" s="195"/>
      <c r="J94" s="195"/>
      <c r="K94" s="195"/>
      <c r="L94" s="196"/>
      <c r="M94" s="222"/>
      <c r="N94" s="197">
        <f>N91+N92+N93</f>
        <v>16037833.02</v>
      </c>
      <c r="O94" s="15"/>
      <c r="P94" s="213"/>
      <c r="Q94" s="15"/>
      <c r="R94" s="15"/>
    </row>
    <row r="95" spans="1:19" s="16" customFormat="1" ht="19.5" customHeight="1" x14ac:dyDescent="0.25">
      <c r="A95" s="149"/>
      <c r="B95" s="351" t="s">
        <v>146</v>
      </c>
      <c r="C95" s="351"/>
      <c r="D95" s="351"/>
      <c r="E95" s="307"/>
      <c r="F95" s="198"/>
      <c r="G95" s="198"/>
      <c r="H95" s="199"/>
      <c r="I95" s="199"/>
      <c r="J95" s="199"/>
      <c r="K95" s="199"/>
      <c r="L95" s="198"/>
      <c r="M95" s="224"/>
      <c r="N95" s="200"/>
      <c r="O95" s="19"/>
      <c r="P95" s="19"/>
      <c r="Q95" s="19"/>
      <c r="R95" s="19"/>
    </row>
    <row r="96" spans="1:19" ht="29.25" customHeight="1" x14ac:dyDescent="0.25">
      <c r="A96" s="149"/>
      <c r="B96" s="346" t="s">
        <v>151</v>
      </c>
      <c r="C96" s="347"/>
      <c r="D96" s="348"/>
      <c r="E96" s="201">
        <f>E94+E86+E87</f>
        <v>275342533</v>
      </c>
      <c r="F96" s="202">
        <v>0.19089999999999999</v>
      </c>
      <c r="G96" s="210">
        <v>0.19089999999999999</v>
      </c>
      <c r="H96" s="211">
        <v>9.8100000000000007E-2</v>
      </c>
      <c r="I96" s="211">
        <v>0.2752</v>
      </c>
      <c r="J96" s="211">
        <v>0.18990000000000001</v>
      </c>
      <c r="K96" s="203">
        <v>0.14599999999999999</v>
      </c>
      <c r="L96" s="209">
        <f>N96/E96</f>
        <v>9.9888393995416616E-2</v>
      </c>
      <c r="M96" s="225"/>
      <c r="N96" s="212">
        <f>N14+N16+N18+N25+N26+N53+N66+N77+N87+N91+N92+N93</f>
        <v>27503523.420000002</v>
      </c>
      <c r="O96" s="15"/>
      <c r="P96" s="15"/>
      <c r="Q96" s="15"/>
      <c r="R96" s="15"/>
      <c r="S96" s="16"/>
    </row>
    <row r="97" spans="1:19" ht="16.5" x14ac:dyDescent="0.25">
      <c r="A97" s="204"/>
      <c r="B97" s="205"/>
      <c r="C97" s="205"/>
      <c r="D97" s="206"/>
      <c r="E97" s="206"/>
      <c r="F97" s="205"/>
      <c r="G97" s="205"/>
      <c r="H97" s="205"/>
      <c r="I97" s="205"/>
      <c r="J97" s="205"/>
      <c r="K97" s="205"/>
      <c r="L97" s="205"/>
      <c r="M97" s="226"/>
      <c r="N97" s="205"/>
      <c r="O97" s="16"/>
      <c r="P97" s="16"/>
      <c r="Q97" s="16"/>
      <c r="R97" s="16"/>
      <c r="S97" s="16"/>
    </row>
    <row r="98" spans="1:19" ht="16.5" x14ac:dyDescent="0.25">
      <c r="A98" s="204"/>
      <c r="B98" s="314"/>
      <c r="C98" s="315"/>
      <c r="D98" s="316"/>
      <c r="E98" s="318"/>
      <c r="F98" s="318"/>
      <c r="G98" s="318"/>
      <c r="H98" s="315"/>
      <c r="I98" s="319"/>
      <c r="J98" s="319"/>
      <c r="K98" s="319"/>
      <c r="L98" s="319"/>
      <c r="M98" s="303" t="s">
        <v>202</v>
      </c>
      <c r="N98" s="207"/>
      <c r="O98" s="16"/>
      <c r="P98" s="16"/>
      <c r="Q98" s="16"/>
      <c r="R98" s="16"/>
      <c r="S98" s="16"/>
    </row>
    <row r="99" spans="1:19" ht="16.5" x14ac:dyDescent="0.25">
      <c r="A99" s="204"/>
      <c r="B99" s="317"/>
      <c r="C99" s="315"/>
      <c r="D99" s="316"/>
      <c r="E99" s="316"/>
      <c r="F99" s="316"/>
      <c r="G99" s="316"/>
      <c r="H99" s="315"/>
      <c r="I99" s="320"/>
      <c r="J99" s="320"/>
      <c r="K99" s="320"/>
      <c r="L99" s="320"/>
      <c r="M99" s="228"/>
      <c r="N99" s="205"/>
    </row>
    <row r="100" spans="1:19" ht="16.5" x14ac:dyDescent="0.25">
      <c r="A100" s="204"/>
      <c r="B100" s="317"/>
      <c r="C100" s="315"/>
      <c r="D100" s="316"/>
      <c r="E100" s="316"/>
      <c r="F100" s="316"/>
      <c r="G100" s="316"/>
      <c r="H100" s="315"/>
      <c r="I100" s="320"/>
      <c r="J100" s="320"/>
      <c r="K100" s="320"/>
      <c r="L100" s="320"/>
      <c r="M100" s="228"/>
      <c r="N100" s="205"/>
    </row>
    <row r="101" spans="1:19" ht="49.5" x14ac:dyDescent="0.25">
      <c r="A101" s="204"/>
      <c r="B101" s="321" t="s">
        <v>240</v>
      </c>
      <c r="C101" s="339" t="s">
        <v>247</v>
      </c>
      <c r="D101" s="340"/>
      <c r="E101" s="340"/>
      <c r="F101" s="340"/>
      <c r="G101" s="341"/>
      <c r="H101" s="315"/>
      <c r="I101" s="320"/>
      <c r="J101" s="320"/>
      <c r="K101" s="320"/>
      <c r="L101" s="320"/>
      <c r="M101" s="228"/>
      <c r="N101" s="205"/>
    </row>
    <row r="102" spans="1:19" ht="54.75" customHeight="1" x14ac:dyDescent="0.25">
      <c r="A102" s="204"/>
      <c r="B102" s="322" t="s">
        <v>241</v>
      </c>
      <c r="C102" s="342"/>
      <c r="D102" s="343"/>
      <c r="E102" s="343"/>
      <c r="F102" s="343"/>
      <c r="G102" s="344"/>
      <c r="H102" s="317"/>
      <c r="I102" s="320"/>
      <c r="J102" s="320"/>
      <c r="K102" s="320"/>
      <c r="L102" s="320"/>
      <c r="M102" s="228"/>
      <c r="N102" s="205"/>
    </row>
    <row r="103" spans="1:19" ht="54.75" customHeight="1" x14ac:dyDescent="0.2">
      <c r="B103" s="322" t="s">
        <v>242</v>
      </c>
      <c r="C103" s="331"/>
      <c r="D103" s="332"/>
      <c r="E103" s="332"/>
      <c r="F103" s="332"/>
      <c r="G103" s="333"/>
    </row>
    <row r="104" spans="1:19" ht="54.75" customHeight="1" x14ac:dyDescent="0.2">
      <c r="B104" s="322" t="s">
        <v>246</v>
      </c>
      <c r="C104" s="331"/>
      <c r="D104" s="332"/>
      <c r="E104" s="332"/>
      <c r="F104" s="332"/>
      <c r="G104" s="333"/>
    </row>
    <row r="105" spans="1:19" ht="54.75" customHeight="1" x14ac:dyDescent="0.2">
      <c r="B105" s="322" t="s">
        <v>243</v>
      </c>
      <c r="C105" s="331"/>
      <c r="D105" s="332"/>
      <c r="E105" s="332"/>
      <c r="F105" s="332"/>
      <c r="G105" s="333"/>
      <c r="H105" s="345"/>
      <c r="I105" s="345"/>
      <c r="L105" s="118"/>
      <c r="M105" s="229"/>
    </row>
    <row r="106" spans="1:19" ht="54.75" customHeight="1" x14ac:dyDescent="0.2">
      <c r="B106" s="322" t="s">
        <v>244</v>
      </c>
      <c r="C106" s="331"/>
      <c r="D106" s="332"/>
      <c r="E106" s="332"/>
      <c r="F106" s="332"/>
      <c r="G106" s="333"/>
    </row>
    <row r="107" spans="1:19" ht="54.75" customHeight="1" x14ac:dyDescent="0.2">
      <c r="B107" s="322" t="s">
        <v>245</v>
      </c>
      <c r="C107" s="331"/>
      <c r="D107" s="332"/>
      <c r="E107" s="332"/>
      <c r="F107" s="332"/>
      <c r="G107" s="333"/>
    </row>
    <row r="109" spans="1:19" x14ac:dyDescent="0.2">
      <c r="M109" s="310"/>
    </row>
  </sheetData>
  <mergeCells count="21">
    <mergeCell ref="A5:A8"/>
    <mergeCell ref="B19:D19"/>
    <mergeCell ref="B20:D20"/>
    <mergeCell ref="B23:D23"/>
    <mergeCell ref="B95:D95"/>
    <mergeCell ref="B24:D24"/>
    <mergeCell ref="B31:D31"/>
    <mergeCell ref="B44:D44"/>
    <mergeCell ref="B82:D82"/>
    <mergeCell ref="B94:D94"/>
    <mergeCell ref="C106:G106"/>
    <mergeCell ref="C107:G107"/>
    <mergeCell ref="B2:F2"/>
    <mergeCell ref="H2:L2"/>
    <mergeCell ref="C101:G101"/>
    <mergeCell ref="C102:G102"/>
    <mergeCell ref="H105:I105"/>
    <mergeCell ref="B96:D96"/>
    <mergeCell ref="C103:G103"/>
    <mergeCell ref="C104:G104"/>
    <mergeCell ref="C105:G105"/>
  </mergeCells>
  <printOptions horizontalCentered="1" verticalCentered="1"/>
  <pageMargins left="0.39370078740157483" right="0.39370078740157483" top="0.19685039370078741" bottom="0.19685039370078741" header="0.31496062992125984" footer="0.51181102362204722"/>
  <pageSetup paperSize="9" scale="50" fitToWidth="50" fitToHeight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opLeftCell="A2" zoomScaleNormal="100" workbookViewId="0">
      <selection activeCell="C20" sqref="C20"/>
    </sheetView>
  </sheetViews>
  <sheetFormatPr baseColWidth="10" defaultRowHeight="15.75" x14ac:dyDescent="0.25"/>
  <cols>
    <col min="1" max="1" width="6.5703125" style="20" customWidth="1"/>
    <col min="2" max="2" width="46.7109375" style="20" customWidth="1"/>
    <col min="3" max="3" width="15.5703125" style="97" customWidth="1"/>
    <col min="4" max="4" width="12.5703125" style="20" customWidth="1"/>
    <col min="5" max="5" width="11.42578125" style="20"/>
    <col min="6" max="6" width="17.28515625" style="20" bestFit="1" customWidth="1"/>
    <col min="7" max="16384" width="11.42578125" style="20"/>
  </cols>
  <sheetData>
    <row r="1" spans="1:3" ht="16.5" customHeight="1" thickTop="1" x14ac:dyDescent="0.25">
      <c r="A1" s="430" t="s">
        <v>226</v>
      </c>
      <c r="B1" s="431"/>
      <c r="C1" s="431"/>
    </row>
    <row r="2" spans="1:3" s="63" customFormat="1" ht="47.25" x14ac:dyDescent="0.25">
      <c r="A2" s="276" t="s">
        <v>0</v>
      </c>
      <c r="B2" s="277" t="s">
        <v>218</v>
      </c>
      <c r="C2" s="277" t="s">
        <v>220</v>
      </c>
    </row>
    <row r="3" spans="1:3" x14ac:dyDescent="0.25">
      <c r="A3" s="64"/>
      <c r="B3" s="281" t="s">
        <v>219</v>
      </c>
      <c r="C3" s="282"/>
    </row>
    <row r="4" spans="1:3" x14ac:dyDescent="0.25">
      <c r="A4" s="64"/>
      <c r="B4" s="259" t="s">
        <v>221</v>
      </c>
      <c r="C4" s="3">
        <v>1</v>
      </c>
    </row>
    <row r="5" spans="1:3" x14ac:dyDescent="0.25">
      <c r="A5" s="64"/>
      <c r="B5" s="66" t="s">
        <v>222</v>
      </c>
      <c r="C5" s="3">
        <v>1</v>
      </c>
    </row>
    <row r="6" spans="1:3" x14ac:dyDescent="0.25">
      <c r="A6" s="64"/>
      <c r="B6" s="66" t="s">
        <v>223</v>
      </c>
      <c r="C6" s="3">
        <v>1</v>
      </c>
    </row>
    <row r="7" spans="1:3" x14ac:dyDescent="0.25">
      <c r="A7" s="64"/>
      <c r="B7" s="287" t="s">
        <v>224</v>
      </c>
      <c r="C7" s="288">
        <v>1</v>
      </c>
    </row>
    <row r="8" spans="1:3" x14ac:dyDescent="0.25">
      <c r="A8" s="64"/>
      <c r="B8" s="287" t="s">
        <v>234</v>
      </c>
      <c r="C8" s="288">
        <v>1</v>
      </c>
    </row>
    <row r="9" spans="1:3" x14ac:dyDescent="0.25">
      <c r="A9" s="64"/>
      <c r="B9" s="287" t="s">
        <v>225</v>
      </c>
      <c r="C9" s="288">
        <v>1</v>
      </c>
    </row>
    <row r="10" spans="1:3" x14ac:dyDescent="0.25">
      <c r="A10" s="64"/>
      <c r="B10" s="287" t="s">
        <v>231</v>
      </c>
      <c r="C10" s="288">
        <v>38</v>
      </c>
    </row>
    <row r="11" spans="1:3" x14ac:dyDescent="0.25">
      <c r="A11" s="64"/>
      <c r="B11" s="289" t="s">
        <v>93</v>
      </c>
      <c r="C11" s="290">
        <f>SUM(C4:C10)</f>
        <v>44</v>
      </c>
    </row>
    <row r="12" spans="1:3" x14ac:dyDescent="0.25">
      <c r="A12" s="64"/>
      <c r="B12" s="286" t="s">
        <v>227</v>
      </c>
      <c r="C12" s="282"/>
    </row>
    <row r="13" spans="1:3" ht="26.25" customHeight="1" x14ac:dyDescent="0.25">
      <c r="A13" s="64"/>
      <c r="B13" s="2" t="s">
        <v>228</v>
      </c>
      <c r="C13" s="3">
        <v>1</v>
      </c>
    </row>
    <row r="14" spans="1:3" ht="26.25" customHeight="1" x14ac:dyDescent="0.25">
      <c r="A14" s="64"/>
      <c r="B14" s="2" t="s">
        <v>229</v>
      </c>
      <c r="C14" s="3">
        <v>1</v>
      </c>
    </row>
    <row r="15" spans="1:3" x14ac:dyDescent="0.25">
      <c r="A15" s="64"/>
      <c r="B15" s="2" t="s">
        <v>230</v>
      </c>
      <c r="C15" s="261">
        <v>1</v>
      </c>
    </row>
    <row r="16" spans="1:3" x14ac:dyDescent="0.25">
      <c r="A16" s="64"/>
      <c r="B16" s="2" t="s">
        <v>221</v>
      </c>
      <c r="C16" s="275">
        <v>1</v>
      </c>
    </row>
    <row r="17" spans="1:3" x14ac:dyDescent="0.25">
      <c r="A17" s="64"/>
      <c r="B17" s="2" t="s">
        <v>231</v>
      </c>
      <c r="C17" s="3">
        <v>60</v>
      </c>
    </row>
    <row r="18" spans="1:3" x14ac:dyDescent="0.25">
      <c r="A18" s="64"/>
      <c r="B18" s="289" t="s">
        <v>93</v>
      </c>
      <c r="C18" s="290">
        <f>SUM(C13:C17,)</f>
        <v>64</v>
      </c>
    </row>
    <row r="19" spans="1:3" x14ac:dyDescent="0.25">
      <c r="A19" s="64"/>
      <c r="B19" s="2"/>
      <c r="C19" s="3"/>
    </row>
    <row r="20" spans="1:3" ht="18" x14ac:dyDescent="0.25">
      <c r="A20" s="64"/>
      <c r="B20" s="291" t="s">
        <v>232</v>
      </c>
      <c r="C20" s="270">
        <f>C11+C18</f>
        <v>108</v>
      </c>
    </row>
    <row r="21" spans="1:3" x14ac:dyDescent="0.25">
      <c r="A21" s="64"/>
      <c r="B21" s="388"/>
      <c r="C21" s="388"/>
    </row>
    <row r="22" spans="1:3" x14ac:dyDescent="0.25">
      <c r="A22" s="64"/>
      <c r="B22" s="388"/>
      <c r="C22" s="388"/>
    </row>
    <row r="23" spans="1:3" x14ac:dyDescent="0.25">
      <c r="A23" s="64"/>
      <c r="B23" s="2"/>
      <c r="C23" s="3"/>
    </row>
    <row r="24" spans="1:3" x14ac:dyDescent="0.25">
      <c r="A24" s="64"/>
      <c r="B24" s="66"/>
      <c r="C24" s="3"/>
    </row>
    <row r="25" spans="1:3" x14ac:dyDescent="0.25">
      <c r="A25" s="64"/>
      <c r="B25" s="388"/>
      <c r="C25" s="388"/>
    </row>
    <row r="26" spans="1:3" x14ac:dyDescent="0.25">
      <c r="A26" s="64"/>
      <c r="B26" s="388"/>
      <c r="C26" s="388"/>
    </row>
    <row r="27" spans="1:3" x14ac:dyDescent="0.25">
      <c r="A27" s="64"/>
      <c r="B27" s="257"/>
      <c r="C27" s="3"/>
    </row>
    <row r="28" spans="1:3" x14ac:dyDescent="0.25">
      <c r="A28" s="64"/>
      <c r="B28" s="256"/>
      <c r="C28" s="3"/>
    </row>
    <row r="29" spans="1:3" x14ac:dyDescent="0.25">
      <c r="A29" s="64"/>
      <c r="B29" s="2"/>
      <c r="C29" s="3"/>
    </row>
    <row r="30" spans="1:3" x14ac:dyDescent="0.25">
      <c r="A30" s="64"/>
      <c r="B30" s="1"/>
      <c r="C30" s="3"/>
    </row>
    <row r="31" spans="1:3" x14ac:dyDescent="0.25">
      <c r="A31" s="64"/>
      <c r="B31" s="388"/>
      <c r="C31" s="388"/>
    </row>
    <row r="32" spans="1:3" x14ac:dyDescent="0.25">
      <c r="A32" s="64"/>
      <c r="B32" s="2"/>
      <c r="C32" s="3"/>
    </row>
    <row r="33" spans="1:3" x14ac:dyDescent="0.25">
      <c r="A33" s="64"/>
      <c r="B33" s="388"/>
      <c r="C33" s="388"/>
    </row>
    <row r="34" spans="1:3" x14ac:dyDescent="0.25">
      <c r="A34" s="64"/>
      <c r="B34" s="2"/>
      <c r="C34" s="3"/>
    </row>
    <row r="35" spans="1:3" x14ac:dyDescent="0.25">
      <c r="A35" s="64"/>
      <c r="B35" s="66"/>
      <c r="C35" s="3"/>
    </row>
    <row r="36" spans="1:3" x14ac:dyDescent="0.25">
      <c r="A36" s="64"/>
      <c r="B36" s="66"/>
      <c r="C36" s="3"/>
    </row>
    <row r="37" spans="1:3" x14ac:dyDescent="0.25">
      <c r="A37" s="64"/>
      <c r="B37" s="2"/>
      <c r="C37" s="3"/>
    </row>
    <row r="38" spans="1:3" x14ac:dyDescent="0.25">
      <c r="A38" s="64"/>
      <c r="B38" s="66"/>
      <c r="C38" s="3"/>
    </row>
    <row r="39" spans="1:3" x14ac:dyDescent="0.25">
      <c r="A39" s="64"/>
      <c r="B39" s="66"/>
      <c r="C39" s="3"/>
    </row>
    <row r="40" spans="1:3" x14ac:dyDescent="0.25">
      <c r="A40" s="64"/>
      <c r="B40" s="66"/>
      <c r="C40" s="3"/>
    </row>
    <row r="41" spans="1:3" x14ac:dyDescent="0.25">
      <c r="A41" s="64"/>
      <c r="B41" s="66"/>
      <c r="C41" s="3"/>
    </row>
    <row r="42" spans="1:3" x14ac:dyDescent="0.25">
      <c r="A42" s="64"/>
      <c r="B42" s="2"/>
      <c r="C42" s="3"/>
    </row>
    <row r="43" spans="1:3" x14ac:dyDescent="0.25">
      <c r="A43" s="64"/>
      <c r="B43" s="2"/>
      <c r="C43" s="3"/>
    </row>
    <row r="44" spans="1:3" x14ac:dyDescent="0.25">
      <c r="A44" s="64"/>
      <c r="B44" s="2"/>
      <c r="C44" s="3"/>
    </row>
    <row r="45" spans="1:3" x14ac:dyDescent="0.25">
      <c r="A45" s="64"/>
      <c r="B45" s="388"/>
      <c r="C45" s="388"/>
    </row>
    <row r="46" spans="1:3" x14ac:dyDescent="0.25">
      <c r="A46" s="64"/>
      <c r="B46" s="2"/>
      <c r="C46" s="3"/>
    </row>
    <row r="47" spans="1:3" x14ac:dyDescent="0.25">
      <c r="A47" s="64"/>
      <c r="B47" s="388"/>
      <c r="C47" s="388"/>
    </row>
    <row r="48" spans="1:3" x14ac:dyDescent="0.25">
      <c r="A48" s="64"/>
      <c r="B48" s="2"/>
      <c r="C48" s="3"/>
    </row>
    <row r="49" spans="1:3" x14ac:dyDescent="0.25">
      <c r="A49" s="64"/>
      <c r="B49" s="2"/>
      <c r="C49" s="3"/>
    </row>
    <row r="50" spans="1:3" x14ac:dyDescent="0.25">
      <c r="A50" s="64"/>
      <c r="B50" s="2"/>
      <c r="C50" s="3"/>
    </row>
    <row r="51" spans="1:3" x14ac:dyDescent="0.25">
      <c r="A51" s="64"/>
      <c r="B51" s="2"/>
      <c r="C51" s="3"/>
    </row>
    <row r="52" spans="1:3" x14ac:dyDescent="0.25">
      <c r="A52" s="64"/>
      <c r="B52" s="388"/>
      <c r="C52" s="388"/>
    </row>
    <row r="53" spans="1:3" x14ac:dyDescent="0.25">
      <c r="A53" s="64"/>
      <c r="B53" s="1"/>
      <c r="C53" s="3"/>
    </row>
    <row r="54" spans="1:3" x14ac:dyDescent="0.25">
      <c r="A54" s="64"/>
      <c r="B54" s="1"/>
      <c r="C54" s="3"/>
    </row>
    <row r="55" spans="1:3" x14ac:dyDescent="0.25">
      <c r="A55" s="64"/>
      <c r="B55" s="2"/>
      <c r="C55" s="3"/>
    </row>
    <row r="56" spans="1:3" x14ac:dyDescent="0.25">
      <c r="A56" s="64"/>
      <c r="B56" s="256"/>
      <c r="C56" s="3"/>
    </row>
    <row r="57" spans="1:3" x14ac:dyDescent="0.25">
      <c r="A57" s="64"/>
      <c r="B57" s="2"/>
      <c r="C57" s="3"/>
    </row>
    <row r="58" spans="1:3" x14ac:dyDescent="0.25">
      <c r="A58" s="64"/>
      <c r="B58" s="2"/>
      <c r="C58" s="3"/>
    </row>
    <row r="59" spans="1:3" x14ac:dyDescent="0.25">
      <c r="A59" s="64"/>
      <c r="B59" s="2"/>
      <c r="C59" s="3"/>
    </row>
    <row r="60" spans="1:3" x14ac:dyDescent="0.25">
      <c r="A60" s="64"/>
      <c r="B60" s="388"/>
      <c r="C60" s="388"/>
    </row>
    <row r="61" spans="1:3" x14ac:dyDescent="0.25">
      <c r="A61" s="64"/>
      <c r="B61" s="1"/>
      <c r="C61" s="3"/>
    </row>
    <row r="62" spans="1:3" x14ac:dyDescent="0.25">
      <c r="A62" s="64"/>
      <c r="B62" s="2"/>
      <c r="C62" s="3"/>
    </row>
    <row r="63" spans="1:3" x14ac:dyDescent="0.25">
      <c r="A63" s="64"/>
      <c r="B63" s="2"/>
      <c r="C63" s="3"/>
    </row>
    <row r="64" spans="1:3" x14ac:dyDescent="0.25">
      <c r="A64" s="64"/>
      <c r="B64" s="2"/>
      <c r="C64" s="3"/>
    </row>
    <row r="65" spans="1:3" x14ac:dyDescent="0.25">
      <c r="A65" s="64"/>
      <c r="B65" s="2"/>
      <c r="C65" s="3"/>
    </row>
    <row r="66" spans="1:3" x14ac:dyDescent="0.25">
      <c r="A66" s="64"/>
      <c r="B66" s="2"/>
      <c r="C66" s="3"/>
    </row>
    <row r="67" spans="1:3" x14ac:dyDescent="0.25">
      <c r="A67" s="64"/>
      <c r="B67" s="388"/>
      <c r="C67" s="388"/>
    </row>
    <row r="68" spans="1:3" x14ac:dyDescent="0.25">
      <c r="A68" s="64"/>
      <c r="B68" s="1"/>
      <c r="C68" s="3"/>
    </row>
    <row r="69" spans="1:3" x14ac:dyDescent="0.25">
      <c r="A69" s="64"/>
      <c r="B69" s="257"/>
      <c r="C69" s="3"/>
    </row>
    <row r="70" spans="1:3" x14ac:dyDescent="0.25">
      <c r="A70" s="64"/>
      <c r="B70" s="2"/>
      <c r="C70" s="3"/>
    </row>
    <row r="71" spans="1:3" x14ac:dyDescent="0.25">
      <c r="A71" s="64"/>
      <c r="B71" s="1"/>
      <c r="C71" s="3"/>
    </row>
    <row r="72" spans="1:3" x14ac:dyDescent="0.25">
      <c r="A72" s="64"/>
      <c r="B72" s="1"/>
      <c r="C72" s="3"/>
    </row>
    <row r="73" spans="1:3" x14ac:dyDescent="0.25">
      <c r="A73" s="64"/>
      <c r="B73" s="2"/>
      <c r="C73" s="3"/>
    </row>
    <row r="74" spans="1:3" x14ac:dyDescent="0.25">
      <c r="A74" s="64"/>
      <c r="B74" s="5"/>
      <c r="C74" s="3"/>
    </row>
    <row r="75" spans="1:3" x14ac:dyDescent="0.25">
      <c r="A75" s="64"/>
      <c r="B75" s="73"/>
      <c r="C75" s="3"/>
    </row>
    <row r="76" spans="1:3" x14ac:dyDescent="0.25">
      <c r="A76" s="64"/>
      <c r="B76" s="73"/>
      <c r="C76" s="3"/>
    </row>
    <row r="77" spans="1:3" x14ac:dyDescent="0.25">
      <c r="A77" s="64"/>
      <c r="B77" s="5"/>
      <c r="C77" s="3"/>
    </row>
    <row r="78" spans="1:3" x14ac:dyDescent="0.25">
      <c r="A78" s="64"/>
      <c r="B78" s="124"/>
      <c r="C78" s="3"/>
    </row>
    <row r="79" spans="1:3" x14ac:dyDescent="0.25">
      <c r="A79" s="64"/>
      <c r="B79" s="124"/>
      <c r="C79" s="3"/>
    </row>
    <row r="80" spans="1:3" x14ac:dyDescent="0.25">
      <c r="A80" s="64"/>
      <c r="B80" s="124"/>
      <c r="C80" s="3"/>
    </row>
    <row r="81" spans="1:6" x14ac:dyDescent="0.25">
      <c r="A81" s="64"/>
      <c r="B81" s="5"/>
      <c r="C81" s="3"/>
    </row>
    <row r="82" spans="1:6" x14ac:dyDescent="0.25">
      <c r="A82" s="64"/>
      <c r="B82" s="73"/>
      <c r="C82" s="3"/>
    </row>
    <row r="83" spans="1:6" x14ac:dyDescent="0.25">
      <c r="A83" s="64"/>
      <c r="B83" s="388"/>
      <c r="C83" s="388"/>
    </row>
    <row r="84" spans="1:6" x14ac:dyDescent="0.25">
      <c r="A84" s="64"/>
      <c r="B84" s="2"/>
      <c r="C84" s="3"/>
    </row>
    <row r="85" spans="1:6" x14ac:dyDescent="0.25">
      <c r="A85" s="64"/>
      <c r="B85" s="388"/>
      <c r="C85" s="388"/>
    </row>
    <row r="86" spans="1:6" x14ac:dyDescent="0.25">
      <c r="A86" s="64"/>
      <c r="B86" s="2"/>
      <c r="C86" s="3"/>
    </row>
    <row r="87" spans="1:6" x14ac:dyDescent="0.25">
      <c r="A87" s="64"/>
      <c r="B87" s="2"/>
      <c r="C87" s="3"/>
    </row>
    <row r="88" spans="1:6" x14ac:dyDescent="0.25">
      <c r="A88" s="64"/>
      <c r="B88" s="388"/>
      <c r="C88" s="388"/>
    </row>
    <row r="89" spans="1:6" x14ac:dyDescent="0.25">
      <c r="A89" s="64"/>
      <c r="B89" s="1"/>
      <c r="C89" s="3"/>
    </row>
    <row r="90" spans="1:6" x14ac:dyDescent="0.25">
      <c r="A90" s="64"/>
      <c r="B90" s="2"/>
      <c r="C90" s="3"/>
      <c r="F90" s="102"/>
    </row>
    <row r="91" spans="1:6" x14ac:dyDescent="0.25">
      <c r="A91" s="64"/>
      <c r="B91" s="1"/>
      <c r="C91" s="3"/>
    </row>
    <row r="92" spans="1:6" x14ac:dyDescent="0.25">
      <c r="A92" s="64"/>
      <c r="B92" s="66"/>
      <c r="C92" s="3"/>
      <c r="F92" s="102"/>
    </row>
    <row r="93" spans="1:6" x14ac:dyDescent="0.25">
      <c r="A93" s="64"/>
      <c r="B93" s="66"/>
      <c r="C93" s="3"/>
    </row>
    <row r="94" spans="1:6" x14ac:dyDescent="0.25">
      <c r="A94" s="64"/>
      <c r="B94" s="258"/>
      <c r="C94" s="3"/>
    </row>
    <row r="95" spans="1:6" ht="30" customHeight="1" x14ac:dyDescent="0.25">
      <c r="A95" s="64"/>
      <c r="B95" s="258"/>
      <c r="C95" s="3"/>
    </row>
    <row r="96" spans="1:6" x14ac:dyDescent="0.25">
      <c r="A96" s="64"/>
      <c r="B96" s="75"/>
      <c r="C96" s="3"/>
    </row>
    <row r="97" spans="1:7" x14ac:dyDescent="0.25">
      <c r="A97" s="64"/>
      <c r="B97" s="388"/>
      <c r="C97" s="388"/>
    </row>
    <row r="98" spans="1:7" x14ac:dyDescent="0.25">
      <c r="A98" s="64"/>
      <c r="B98" s="388"/>
      <c r="C98" s="388"/>
    </row>
    <row r="99" spans="1:7" ht="19.5" customHeight="1" x14ac:dyDescent="0.25">
      <c r="A99" s="389"/>
      <c r="B99" s="390"/>
      <c r="C99" s="390"/>
    </row>
    <row r="100" spans="1:7" x14ac:dyDescent="0.25">
      <c r="A100" s="392"/>
      <c r="B100" s="393"/>
      <c r="C100" s="272"/>
    </row>
    <row r="101" spans="1:7" x14ac:dyDescent="0.25">
      <c r="A101" s="380"/>
      <c r="B101" s="381"/>
      <c r="C101" s="267"/>
    </row>
    <row r="102" spans="1:7" x14ac:dyDescent="0.25">
      <c r="A102" s="373"/>
      <c r="B102" s="374"/>
      <c r="C102" s="81"/>
    </row>
    <row r="103" spans="1:7" x14ac:dyDescent="0.25">
      <c r="A103" s="383"/>
      <c r="B103" s="384"/>
      <c r="C103" s="384"/>
    </row>
    <row r="104" spans="1:7" x14ac:dyDescent="0.25">
      <c r="A104" s="385"/>
      <c r="B104" s="386"/>
      <c r="C104" s="269"/>
    </row>
    <row r="105" spans="1:7" x14ac:dyDescent="0.25">
      <c r="A105" s="373"/>
      <c r="B105" s="374"/>
      <c r="C105" s="263"/>
    </row>
    <row r="106" spans="1:7" x14ac:dyDescent="0.25">
      <c r="A106" s="88"/>
      <c r="B106" s="89"/>
      <c r="C106" s="89"/>
    </row>
    <row r="107" spans="1:7" ht="16.5" thickBot="1" x14ac:dyDescent="0.3">
      <c r="A107" s="90"/>
      <c r="B107" s="91"/>
      <c r="C107" s="92"/>
    </row>
    <row r="108" spans="1:7" ht="16.5" thickTop="1" x14ac:dyDescent="0.25"/>
    <row r="110" spans="1:7" x14ac:dyDescent="0.25">
      <c r="D110" s="104"/>
    </row>
    <row r="111" spans="1:7" x14ac:dyDescent="0.25">
      <c r="F111" s="234">
        <f>DATE(2016,5,6)</f>
        <v>42496</v>
      </c>
      <c r="G111" s="235">
        <f>DATE(2016,12,26)</f>
        <v>42730</v>
      </c>
    </row>
    <row r="112" spans="1:7" ht="31.5" x14ac:dyDescent="0.25">
      <c r="D112" s="20" t="s">
        <v>200</v>
      </c>
      <c r="F112" s="236" t="s">
        <v>91</v>
      </c>
      <c r="G112" s="237">
        <f>NETWORKDAYS(F111,G111,5)</f>
        <v>167</v>
      </c>
    </row>
    <row r="113" spans="4:7" ht="63" x14ac:dyDescent="0.25">
      <c r="F113" s="238" t="s">
        <v>86</v>
      </c>
      <c r="G113" s="239" t="s">
        <v>158</v>
      </c>
    </row>
    <row r="114" spans="4:7" x14ac:dyDescent="0.25">
      <c r="F114" s="240">
        <f>G112/G114</f>
        <v>2.7833333333333332</v>
      </c>
      <c r="G114" s="241">
        <v>60</v>
      </c>
    </row>
    <row r="115" spans="4:7" ht="15.75" customHeight="1" x14ac:dyDescent="0.25">
      <c r="F115" s="396" t="s">
        <v>156</v>
      </c>
      <c r="G115" s="397"/>
    </row>
    <row r="116" spans="4:7" x14ac:dyDescent="0.25">
      <c r="F116" s="398">
        <f>G114-G112</f>
        <v>-107</v>
      </c>
      <c r="G116" s="399"/>
    </row>
    <row r="122" spans="4:7" x14ac:dyDescent="0.25">
      <c r="D122" s="20" t="s">
        <v>201</v>
      </c>
    </row>
    <row r="123" spans="4:7" x14ac:dyDescent="0.25">
      <c r="F123" s="20" t="s">
        <v>202</v>
      </c>
    </row>
  </sheetData>
  <mergeCells count="26">
    <mergeCell ref="B60:C60"/>
    <mergeCell ref="A1:C1"/>
    <mergeCell ref="B21:C21"/>
    <mergeCell ref="B22:C22"/>
    <mergeCell ref="B25:C25"/>
    <mergeCell ref="B26:C26"/>
    <mergeCell ref="B31:C31"/>
    <mergeCell ref="B33:C33"/>
    <mergeCell ref="B45:C45"/>
    <mergeCell ref="B47:C47"/>
    <mergeCell ref="B52:C52"/>
    <mergeCell ref="A99:C99"/>
    <mergeCell ref="A100:B100"/>
    <mergeCell ref="A101:B101"/>
    <mergeCell ref="A102:B102"/>
    <mergeCell ref="B67:C67"/>
    <mergeCell ref="B83:C83"/>
    <mergeCell ref="B85:C85"/>
    <mergeCell ref="B88:C88"/>
    <mergeCell ref="B97:C97"/>
    <mergeCell ref="B98:C98"/>
    <mergeCell ref="F115:G115"/>
    <mergeCell ref="F116:G116"/>
    <mergeCell ref="A103:C103"/>
    <mergeCell ref="A104:B104"/>
    <mergeCell ref="A105:B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opLeftCell="A86" workbookViewId="0">
      <selection activeCell="B90" sqref="B90"/>
    </sheetView>
  </sheetViews>
  <sheetFormatPr baseColWidth="10" defaultRowHeight="14.25" x14ac:dyDescent="0.2"/>
  <cols>
    <col min="1" max="1" width="6.28515625" style="133" customWidth="1"/>
    <col min="2" max="2" width="38.28515625" style="7" customWidth="1"/>
    <col min="3" max="3" width="7.7109375" style="133" customWidth="1"/>
    <col min="4" max="4" width="20" style="101" customWidth="1"/>
    <col min="5" max="5" width="21.140625" style="101" customWidth="1"/>
    <col min="6" max="6" width="14.85546875" style="7" hidden="1" customWidth="1"/>
    <col min="7" max="7" width="15.28515625" style="7" customWidth="1"/>
    <col min="8" max="8" width="14.85546875" style="133" customWidth="1"/>
    <col min="9" max="9" width="15.140625" style="133" customWidth="1"/>
    <col min="10" max="10" width="17.85546875" style="133" customWidth="1"/>
    <col min="11" max="11" width="19.140625" style="133" customWidth="1"/>
    <col min="12" max="13" width="16.5703125" style="7" customWidth="1"/>
    <col min="14" max="14" width="16" style="7" customWidth="1"/>
    <col min="15" max="18" width="12.5703125" style="7" customWidth="1"/>
    <col min="19" max="19" width="4" style="7" customWidth="1"/>
    <col min="20" max="24" width="11.42578125" style="7"/>
    <col min="25" max="25" width="11" style="7" customWidth="1"/>
    <col min="26" max="16384" width="11.42578125" style="7"/>
  </cols>
  <sheetData>
    <row r="1" spans="1:20" ht="17.25" x14ac:dyDescent="0.3">
      <c r="A1" s="134"/>
      <c r="B1" s="359" t="s">
        <v>107</v>
      </c>
      <c r="C1" s="360"/>
      <c r="D1" s="360"/>
      <c r="E1" s="360"/>
      <c r="F1" s="361"/>
      <c r="G1" s="357">
        <v>42493</v>
      </c>
      <c r="H1" s="358"/>
      <c r="I1" s="358"/>
      <c r="J1" s="358"/>
      <c r="K1" s="358"/>
      <c r="L1" s="358"/>
      <c r="M1" s="358"/>
      <c r="N1" s="358"/>
    </row>
    <row r="2" spans="1:20" s="8" customFormat="1" ht="55.5" customHeight="1" x14ac:dyDescent="0.25">
      <c r="A2" s="135" t="s">
        <v>110</v>
      </c>
      <c r="B2" s="135" t="s">
        <v>111</v>
      </c>
      <c r="C2" s="136" t="s">
        <v>112</v>
      </c>
      <c r="D2" s="137" t="s">
        <v>163</v>
      </c>
      <c r="E2" s="137" t="s">
        <v>147</v>
      </c>
      <c r="F2" s="135" t="s">
        <v>157</v>
      </c>
      <c r="G2" s="135" t="s">
        <v>191</v>
      </c>
      <c r="H2" s="135" t="s">
        <v>192</v>
      </c>
      <c r="I2" s="135" t="s">
        <v>193</v>
      </c>
      <c r="J2" s="135" t="s">
        <v>194</v>
      </c>
      <c r="K2" s="135" t="s">
        <v>195</v>
      </c>
      <c r="L2" s="135" t="s">
        <v>236</v>
      </c>
      <c r="M2" s="135" t="s">
        <v>238</v>
      </c>
      <c r="N2" s="135" t="s">
        <v>113</v>
      </c>
      <c r="O2" s="6"/>
      <c r="P2" s="6"/>
      <c r="Q2" s="6"/>
      <c r="R2" s="6"/>
    </row>
    <row r="3" spans="1:20" ht="17.25" x14ac:dyDescent="0.3">
      <c r="A3" s="149" t="s">
        <v>239</v>
      </c>
      <c r="B3" s="142" t="s">
        <v>115</v>
      </c>
      <c r="C3" s="150"/>
      <c r="D3" s="151"/>
      <c r="E3" s="151"/>
      <c r="F3" s="150"/>
      <c r="G3" s="150"/>
      <c r="H3" s="152"/>
      <c r="I3" s="152"/>
      <c r="J3" s="152"/>
      <c r="K3" s="152"/>
      <c r="L3" s="150"/>
      <c r="M3" s="150"/>
      <c r="N3" s="150"/>
      <c r="O3" s="9"/>
      <c r="P3" s="9"/>
      <c r="Q3" s="9"/>
      <c r="R3" s="9"/>
    </row>
    <row r="4" spans="1:20" ht="16.5" x14ac:dyDescent="0.25">
      <c r="A4" s="349" t="s">
        <v>116</v>
      </c>
      <c r="B4" s="143" t="s">
        <v>114</v>
      </c>
      <c r="C4" s="143"/>
      <c r="D4" s="153"/>
      <c r="E4" s="153"/>
      <c r="F4" s="154"/>
      <c r="G4" s="154"/>
      <c r="H4" s="155"/>
      <c r="I4" s="155"/>
      <c r="J4" s="155"/>
      <c r="K4" s="155"/>
      <c r="L4" s="155"/>
      <c r="M4" s="155"/>
      <c r="N4" s="155"/>
      <c r="O4" s="10"/>
      <c r="P4" s="10"/>
      <c r="Q4" s="10"/>
      <c r="R4" s="10"/>
    </row>
    <row r="5" spans="1:20" ht="16.5" x14ac:dyDescent="0.25">
      <c r="A5" s="349"/>
      <c r="B5" s="144" t="s">
        <v>160</v>
      </c>
      <c r="C5" s="149">
        <v>3</v>
      </c>
      <c r="D5" s="156">
        <v>4426296</v>
      </c>
      <c r="E5" s="156">
        <f>C5*D5</f>
        <v>13278888</v>
      </c>
      <c r="F5" s="157">
        <v>0</v>
      </c>
      <c r="G5" s="157">
        <v>0</v>
      </c>
      <c r="H5" s="158">
        <v>0</v>
      </c>
      <c r="I5" s="158">
        <v>0.99999992469249499</v>
      </c>
      <c r="J5" s="158">
        <v>0.99999992469249499</v>
      </c>
      <c r="K5" s="158">
        <v>0.99999992469249499</v>
      </c>
      <c r="L5" s="158">
        <v>1</v>
      </c>
      <c r="M5" s="158"/>
      <c r="N5" s="159"/>
      <c r="O5" s="11"/>
      <c r="P5" s="11"/>
      <c r="Q5" s="11"/>
      <c r="R5" s="11"/>
    </row>
    <row r="6" spans="1:20" ht="16.5" x14ac:dyDescent="0.25">
      <c r="A6" s="349"/>
      <c r="B6" s="145" t="s">
        <v>161</v>
      </c>
      <c r="C6" s="160">
        <v>3</v>
      </c>
      <c r="D6" s="161">
        <v>5305574</v>
      </c>
      <c r="E6" s="161">
        <f>C6*D6</f>
        <v>15916722</v>
      </c>
      <c r="F6" s="162">
        <v>0</v>
      </c>
      <c r="G6" s="162">
        <v>0</v>
      </c>
      <c r="H6" s="163">
        <v>0</v>
      </c>
      <c r="I6" s="163">
        <v>0</v>
      </c>
      <c r="J6" s="163">
        <v>1</v>
      </c>
      <c r="K6" s="158">
        <v>1</v>
      </c>
      <c r="L6" s="158">
        <v>1</v>
      </c>
      <c r="M6" s="158"/>
      <c r="N6" s="164"/>
      <c r="O6" s="13"/>
      <c r="P6" s="13"/>
      <c r="Q6" s="13"/>
      <c r="R6" s="13"/>
      <c r="S6" s="16"/>
      <c r="T6" s="16"/>
    </row>
    <row r="7" spans="1:20" ht="16.5" x14ac:dyDescent="0.25">
      <c r="A7" s="349"/>
      <c r="B7" s="145" t="s">
        <v>162</v>
      </c>
      <c r="C7" s="160">
        <v>3</v>
      </c>
      <c r="D7" s="161">
        <v>7500778</v>
      </c>
      <c r="E7" s="161">
        <f>C7*D7</f>
        <v>22502334</v>
      </c>
      <c r="F7" s="162">
        <v>0</v>
      </c>
      <c r="G7" s="162">
        <v>0</v>
      </c>
      <c r="H7" s="163">
        <v>0</v>
      </c>
      <c r="I7" s="163">
        <v>1.0000000444398365</v>
      </c>
      <c r="J7" s="163">
        <v>1.0000000444398365</v>
      </c>
      <c r="K7" s="158">
        <v>1.0000000444398365</v>
      </c>
      <c r="L7" s="158">
        <v>1</v>
      </c>
      <c r="M7" s="158"/>
      <c r="N7" s="164"/>
      <c r="O7" s="13"/>
      <c r="P7" s="13"/>
      <c r="Q7" s="13"/>
      <c r="R7" s="13"/>
      <c r="S7" s="16"/>
      <c r="T7" s="16"/>
    </row>
    <row r="8" spans="1:20" s="16" customFormat="1" ht="16.5" x14ac:dyDescent="0.25">
      <c r="A8" s="149"/>
      <c r="B8" s="146" t="s">
        <v>8</v>
      </c>
      <c r="C8" s="160"/>
      <c r="D8" s="161"/>
      <c r="E8" s="165">
        <f>SUM(E5:E7)</f>
        <v>51697944</v>
      </c>
      <c r="F8" s="166"/>
      <c r="G8" s="166"/>
      <c r="H8" s="167"/>
      <c r="I8" s="167"/>
      <c r="J8" s="167"/>
      <c r="K8" s="167"/>
      <c r="L8" s="166"/>
      <c r="M8" s="166"/>
      <c r="N8" s="168"/>
      <c r="O8" s="17"/>
      <c r="P8" s="17"/>
      <c r="Q8" s="17"/>
      <c r="R8" s="17"/>
    </row>
    <row r="9" spans="1:20" ht="16.5" x14ac:dyDescent="0.25">
      <c r="A9" s="149" t="s">
        <v>118</v>
      </c>
      <c r="B9" s="148" t="s">
        <v>117</v>
      </c>
      <c r="C9" s="160"/>
      <c r="D9" s="161"/>
      <c r="E9" s="161"/>
      <c r="F9" s="169"/>
      <c r="G9" s="169"/>
      <c r="H9" s="160"/>
      <c r="I9" s="160"/>
      <c r="J9" s="160"/>
      <c r="K9" s="160"/>
      <c r="L9" s="147"/>
      <c r="M9" s="147"/>
      <c r="N9" s="170"/>
      <c r="O9" s="18"/>
      <c r="P9" s="18"/>
      <c r="Q9" s="18"/>
      <c r="R9" s="18"/>
      <c r="S9" s="16"/>
      <c r="T9" s="16"/>
    </row>
    <row r="10" spans="1:20" ht="16.5" x14ac:dyDescent="0.25">
      <c r="A10" s="149"/>
      <c r="B10" s="147" t="s">
        <v>10</v>
      </c>
      <c r="C10" s="160">
        <v>1</v>
      </c>
      <c r="D10" s="171">
        <v>17944444</v>
      </c>
      <c r="E10" s="161">
        <f>C10*D10</f>
        <v>17944444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1</v>
      </c>
      <c r="L10" s="163">
        <v>1</v>
      </c>
      <c r="M10" s="163"/>
      <c r="N10" s="164"/>
      <c r="O10" s="13"/>
      <c r="P10" s="13"/>
      <c r="Q10" s="13"/>
      <c r="R10" s="13"/>
      <c r="S10" s="16"/>
      <c r="T10" s="16"/>
    </row>
    <row r="11" spans="1:20" ht="16.5" x14ac:dyDescent="0.25">
      <c r="A11" s="149"/>
      <c r="B11" s="147" t="s">
        <v>11</v>
      </c>
      <c r="C11" s="160">
        <v>1</v>
      </c>
      <c r="D11" s="161">
        <v>2691667</v>
      </c>
      <c r="E11" s="161">
        <f t="shared" ref="E11:E16" si="0">C11*D11</f>
        <v>2691667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1</v>
      </c>
      <c r="L11" s="163">
        <v>1</v>
      </c>
      <c r="M11" s="163"/>
      <c r="N11" s="164"/>
      <c r="O11" s="13"/>
      <c r="P11" s="13"/>
      <c r="Q11" s="13"/>
      <c r="R11" s="13"/>
      <c r="S11" s="16"/>
      <c r="T11" s="16"/>
    </row>
    <row r="12" spans="1:20" ht="16.5" x14ac:dyDescent="0.25">
      <c r="A12" s="149"/>
      <c r="B12" s="304" t="s">
        <v>12</v>
      </c>
      <c r="C12" s="160">
        <v>1</v>
      </c>
      <c r="D12" s="161">
        <v>1940991</v>
      </c>
      <c r="E12" s="161">
        <f t="shared" si="0"/>
        <v>1940991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253">
        <v>1</v>
      </c>
      <c r="M12" s="253">
        <v>1</v>
      </c>
      <c r="N12" s="164"/>
      <c r="O12" s="13"/>
      <c r="P12" s="13"/>
      <c r="Q12" s="13"/>
      <c r="R12" s="13"/>
      <c r="S12" s="16"/>
      <c r="T12" s="16"/>
    </row>
    <row r="13" spans="1:20" ht="16.5" x14ac:dyDescent="0.25">
      <c r="A13" s="149"/>
      <c r="B13" s="147" t="s">
        <v>13</v>
      </c>
      <c r="C13" s="160">
        <v>1</v>
      </c>
      <c r="D13" s="161">
        <v>1705320</v>
      </c>
      <c r="E13" s="161">
        <f t="shared" si="0"/>
        <v>1705320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1</v>
      </c>
      <c r="L13" s="163">
        <v>1</v>
      </c>
      <c r="M13" s="163"/>
      <c r="N13" s="164"/>
      <c r="O13" s="13"/>
      <c r="P13" s="13"/>
      <c r="Q13" s="13"/>
      <c r="R13" s="13"/>
      <c r="S13" s="16"/>
      <c r="T13" s="16"/>
    </row>
    <row r="14" spans="1:20" ht="16.5" x14ac:dyDescent="0.25">
      <c r="A14" s="149"/>
      <c r="B14" s="304" t="s">
        <v>14</v>
      </c>
      <c r="C14" s="160">
        <v>1</v>
      </c>
      <c r="D14" s="161">
        <v>1046759</v>
      </c>
      <c r="E14" s="161">
        <f t="shared" si="0"/>
        <v>1046759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253">
        <v>1</v>
      </c>
      <c r="M14" s="253">
        <v>1</v>
      </c>
      <c r="N14" s="164"/>
      <c r="O14" s="13"/>
      <c r="P14" s="13"/>
      <c r="Q14" s="13"/>
      <c r="R14" s="13"/>
      <c r="S14" s="16"/>
      <c r="T14" s="16"/>
    </row>
    <row r="15" spans="1:20" ht="16.5" x14ac:dyDescent="0.25">
      <c r="A15" s="149"/>
      <c r="B15" s="147" t="s">
        <v>176</v>
      </c>
      <c r="C15" s="160">
        <v>3</v>
      </c>
      <c r="D15" s="161">
        <v>2135389</v>
      </c>
      <c r="E15" s="161">
        <f t="shared" si="0"/>
        <v>6406167</v>
      </c>
      <c r="F15" s="163">
        <v>0</v>
      </c>
      <c r="G15" s="163">
        <v>0</v>
      </c>
      <c r="H15" s="163">
        <v>0</v>
      </c>
      <c r="I15" s="163">
        <v>1</v>
      </c>
      <c r="J15" s="163">
        <v>1</v>
      </c>
      <c r="K15" s="163">
        <v>1</v>
      </c>
      <c r="L15" s="163">
        <v>1</v>
      </c>
      <c r="M15" s="163"/>
      <c r="N15" s="164"/>
      <c r="O15" s="13"/>
      <c r="P15" s="13"/>
      <c r="Q15" s="13"/>
      <c r="R15" s="13"/>
      <c r="S15" s="16"/>
      <c r="T15" s="16"/>
    </row>
    <row r="16" spans="1:20" ht="16.5" x14ac:dyDescent="0.25">
      <c r="A16" s="149"/>
      <c r="B16" s="304" t="s">
        <v>15</v>
      </c>
      <c r="C16" s="160">
        <v>5</v>
      </c>
      <c r="D16" s="161">
        <v>323000</v>
      </c>
      <c r="E16" s="161">
        <f t="shared" si="0"/>
        <v>1615000</v>
      </c>
      <c r="F16" s="163">
        <v>0</v>
      </c>
      <c r="G16" s="163">
        <v>0</v>
      </c>
      <c r="H16" s="163">
        <v>0</v>
      </c>
      <c r="I16" s="163">
        <v>0</v>
      </c>
      <c r="J16" s="163">
        <v>0</v>
      </c>
      <c r="K16" s="163">
        <v>0</v>
      </c>
      <c r="L16" s="253">
        <v>1</v>
      </c>
      <c r="M16" s="253">
        <v>1</v>
      </c>
      <c r="N16" s="164"/>
      <c r="O16" s="13"/>
      <c r="P16" s="13"/>
      <c r="Q16" s="13"/>
      <c r="R16" s="13"/>
      <c r="S16" s="16"/>
      <c r="T16" s="16"/>
    </row>
    <row r="17" spans="1:20" s="16" customFormat="1" ht="16.5" x14ac:dyDescent="0.25">
      <c r="A17" s="149"/>
      <c r="B17" s="350" t="s">
        <v>16</v>
      </c>
      <c r="C17" s="350"/>
      <c r="D17" s="350"/>
      <c r="E17" s="172">
        <f>SUM(E10:E16)</f>
        <v>33350348</v>
      </c>
      <c r="F17" s="166"/>
      <c r="G17" s="166"/>
      <c r="H17" s="167"/>
      <c r="I17" s="167"/>
      <c r="J17" s="167"/>
      <c r="K17" s="167"/>
      <c r="L17" s="166"/>
      <c r="M17" s="166"/>
      <c r="N17" s="168"/>
      <c r="O17" s="17"/>
      <c r="P17" s="17"/>
      <c r="Q17" s="17"/>
      <c r="R17" s="17"/>
    </row>
    <row r="18" spans="1:20" ht="16.5" x14ac:dyDescent="0.25">
      <c r="A18" s="149" t="s">
        <v>120</v>
      </c>
      <c r="B18" s="354" t="s">
        <v>119</v>
      </c>
      <c r="C18" s="355"/>
      <c r="D18" s="356"/>
      <c r="E18" s="146"/>
      <c r="F18" s="173"/>
      <c r="G18" s="173"/>
      <c r="H18" s="146"/>
      <c r="I18" s="146"/>
      <c r="J18" s="146"/>
      <c r="K18" s="146"/>
      <c r="L18" s="146"/>
      <c r="M18" s="250"/>
      <c r="N18" s="174"/>
      <c r="O18" s="18"/>
      <c r="P18" s="18"/>
      <c r="Q18" s="18"/>
      <c r="R18" s="18"/>
      <c r="S18" s="16"/>
      <c r="T18" s="16"/>
    </row>
    <row r="19" spans="1:20" ht="16.5" x14ac:dyDescent="0.25">
      <c r="A19" s="149"/>
      <c r="B19" s="175" t="s">
        <v>18</v>
      </c>
      <c r="C19" s="160">
        <v>2</v>
      </c>
      <c r="D19" s="161">
        <v>3887963</v>
      </c>
      <c r="E19" s="161">
        <f>C19*D19</f>
        <v>7775926</v>
      </c>
      <c r="F19" s="163">
        <v>0</v>
      </c>
      <c r="G19" s="163">
        <v>0</v>
      </c>
      <c r="H19" s="163">
        <v>0</v>
      </c>
      <c r="I19" s="163">
        <v>1</v>
      </c>
      <c r="J19" s="163">
        <v>1</v>
      </c>
      <c r="K19" s="163">
        <v>1</v>
      </c>
      <c r="L19" s="163">
        <v>1</v>
      </c>
      <c r="M19" s="163"/>
      <c r="N19" s="164"/>
      <c r="O19" s="13"/>
      <c r="P19" s="13"/>
      <c r="Q19" s="13"/>
      <c r="R19" s="13"/>
      <c r="S19" s="16"/>
      <c r="T19" s="16"/>
    </row>
    <row r="20" spans="1:20" ht="33" x14ac:dyDescent="0.25">
      <c r="A20" s="149"/>
      <c r="B20" s="176" t="s">
        <v>94</v>
      </c>
      <c r="C20" s="160">
        <v>2</v>
      </c>
      <c r="D20" s="161">
        <v>5383333</v>
      </c>
      <c r="E20" s="161">
        <f>C20*D20</f>
        <v>10766666</v>
      </c>
      <c r="F20" s="163">
        <v>0.99999990712074593</v>
      </c>
      <c r="G20" s="163">
        <v>0.99999990712074593</v>
      </c>
      <c r="H20" s="163">
        <v>1</v>
      </c>
      <c r="I20" s="163">
        <v>1</v>
      </c>
      <c r="J20" s="163">
        <v>1</v>
      </c>
      <c r="K20" s="163">
        <v>1</v>
      </c>
      <c r="L20" s="163">
        <v>1</v>
      </c>
      <c r="M20" s="163"/>
      <c r="N20" s="164"/>
      <c r="O20" s="13"/>
      <c r="P20" s="13"/>
      <c r="Q20" s="13"/>
      <c r="R20" s="13"/>
      <c r="S20" s="16"/>
      <c r="T20" s="16"/>
    </row>
    <row r="21" spans="1:20" s="16" customFormat="1" ht="16.5" x14ac:dyDescent="0.25">
      <c r="A21" s="149"/>
      <c r="B21" s="350" t="s">
        <v>19</v>
      </c>
      <c r="C21" s="350"/>
      <c r="D21" s="350"/>
      <c r="E21" s="172">
        <f>SUM(E19:E20)</f>
        <v>18542592</v>
      </c>
      <c r="F21" s="166"/>
      <c r="G21" s="166"/>
      <c r="H21" s="167"/>
      <c r="I21" s="167"/>
      <c r="J21" s="167"/>
      <c r="K21" s="167"/>
      <c r="L21" s="166"/>
      <c r="M21" s="166"/>
      <c r="N21" s="167"/>
      <c r="O21" s="17"/>
      <c r="P21" s="17"/>
      <c r="Q21" s="17"/>
      <c r="R21" s="17"/>
    </row>
    <row r="22" spans="1:20" ht="16.5" x14ac:dyDescent="0.25">
      <c r="A22" s="149" t="s">
        <v>122</v>
      </c>
      <c r="B22" s="350" t="s">
        <v>121</v>
      </c>
      <c r="C22" s="350"/>
      <c r="D22" s="350"/>
      <c r="E22" s="146"/>
      <c r="F22" s="173"/>
      <c r="G22" s="173"/>
      <c r="H22" s="146"/>
      <c r="I22" s="146"/>
      <c r="J22" s="146"/>
      <c r="K22" s="146"/>
      <c r="L22" s="146"/>
      <c r="M22" s="250"/>
      <c r="N22" s="146"/>
      <c r="O22" s="18"/>
      <c r="P22" s="18"/>
      <c r="Q22" s="18"/>
      <c r="R22" s="18"/>
      <c r="S22" s="16"/>
      <c r="T22" s="16"/>
    </row>
    <row r="23" spans="1:20" ht="16.5" x14ac:dyDescent="0.25">
      <c r="A23" s="149"/>
      <c r="B23" s="304" t="s">
        <v>21</v>
      </c>
      <c r="C23" s="160">
        <v>4</v>
      </c>
      <c r="D23" s="161">
        <v>193800</v>
      </c>
      <c r="E23" s="161">
        <f>C23*D23</f>
        <v>775200</v>
      </c>
      <c r="F23" s="163">
        <v>0</v>
      </c>
      <c r="G23" s="163">
        <v>0</v>
      </c>
      <c r="H23" s="163">
        <v>0</v>
      </c>
      <c r="I23" s="163">
        <v>0</v>
      </c>
      <c r="J23" s="163">
        <v>0</v>
      </c>
      <c r="K23" s="163">
        <v>0</v>
      </c>
      <c r="L23" s="253">
        <v>1</v>
      </c>
      <c r="M23" s="253">
        <v>1</v>
      </c>
      <c r="N23" s="164"/>
      <c r="O23" s="13"/>
      <c r="P23" s="13"/>
      <c r="Q23" s="13"/>
      <c r="R23" s="13"/>
      <c r="S23" s="16"/>
      <c r="T23" s="16"/>
    </row>
    <row r="24" spans="1:20" ht="16.5" x14ac:dyDescent="0.25">
      <c r="A24" s="149"/>
      <c r="B24" s="304" t="s">
        <v>22</v>
      </c>
      <c r="C24" s="160">
        <v>4</v>
      </c>
      <c r="D24" s="161">
        <v>93311</v>
      </c>
      <c r="E24" s="161">
        <f>C24*D24</f>
        <v>373244</v>
      </c>
      <c r="F24" s="163">
        <v>0</v>
      </c>
      <c r="G24" s="163">
        <v>0</v>
      </c>
      <c r="H24" s="163">
        <v>0</v>
      </c>
      <c r="I24" s="163">
        <v>0</v>
      </c>
      <c r="J24" s="163">
        <v>0</v>
      </c>
      <c r="K24" s="163">
        <v>0</v>
      </c>
      <c r="L24" s="253">
        <v>1</v>
      </c>
      <c r="M24" s="253">
        <v>1</v>
      </c>
      <c r="N24" s="164"/>
      <c r="O24" s="13"/>
      <c r="P24" s="13"/>
      <c r="Q24" s="13"/>
      <c r="R24" s="13"/>
      <c r="S24" s="16"/>
      <c r="T24" s="16"/>
    </row>
    <row r="25" spans="1:20" ht="16.5" x14ac:dyDescent="0.25">
      <c r="A25" s="149"/>
      <c r="B25" s="147" t="s">
        <v>23</v>
      </c>
      <c r="C25" s="160">
        <v>3</v>
      </c>
      <c r="D25" s="161">
        <v>260194</v>
      </c>
      <c r="E25" s="161">
        <f>C25*D25</f>
        <v>780582</v>
      </c>
      <c r="F25" s="163">
        <v>0</v>
      </c>
      <c r="G25" s="163">
        <v>0</v>
      </c>
      <c r="H25" s="163">
        <v>0</v>
      </c>
      <c r="I25" s="163">
        <v>0</v>
      </c>
      <c r="J25" s="163">
        <v>0.99999871890625336</v>
      </c>
      <c r="K25" s="163">
        <v>0.99999871890625336</v>
      </c>
      <c r="L25" s="163">
        <v>1</v>
      </c>
      <c r="M25" s="163"/>
      <c r="N25" s="164"/>
      <c r="O25" s="13"/>
      <c r="P25" s="13"/>
      <c r="Q25" s="13"/>
      <c r="R25" s="13"/>
      <c r="S25" s="16"/>
      <c r="T25" s="16"/>
    </row>
    <row r="26" spans="1:20" ht="16.5" x14ac:dyDescent="0.25">
      <c r="A26" s="149"/>
      <c r="B26" s="177" t="s">
        <v>24</v>
      </c>
      <c r="C26" s="160"/>
      <c r="D26" s="161"/>
      <c r="E26" s="172">
        <f>SUM(E23:E25)</f>
        <v>1929026</v>
      </c>
      <c r="F26" s="163"/>
      <c r="G26" s="163"/>
      <c r="H26" s="163"/>
      <c r="I26" s="163"/>
      <c r="J26" s="163"/>
      <c r="K26" s="163"/>
      <c r="L26" s="166"/>
      <c r="M26" s="166"/>
      <c r="N26" s="168"/>
      <c r="O26" s="13"/>
      <c r="P26" s="13"/>
      <c r="Q26" s="13"/>
      <c r="R26" s="13"/>
      <c r="S26" s="16"/>
      <c r="T26" s="16"/>
    </row>
    <row r="27" spans="1:20" ht="16.5" x14ac:dyDescent="0.25">
      <c r="A27" s="149" t="s">
        <v>125</v>
      </c>
      <c r="B27" s="352" t="s">
        <v>124</v>
      </c>
      <c r="C27" s="352"/>
      <c r="D27" s="352"/>
      <c r="E27" s="178"/>
      <c r="F27" s="173"/>
      <c r="G27" s="173"/>
      <c r="H27" s="146"/>
      <c r="I27" s="146"/>
      <c r="J27" s="146"/>
      <c r="K27" s="146"/>
      <c r="L27" s="146"/>
      <c r="M27" s="250"/>
      <c r="N27" s="146"/>
      <c r="O27" s="18"/>
      <c r="P27" s="18"/>
      <c r="Q27" s="18"/>
      <c r="R27" s="18"/>
      <c r="S27" s="16"/>
      <c r="T27" s="16"/>
    </row>
    <row r="28" spans="1:20" ht="16.5" x14ac:dyDescent="0.25">
      <c r="A28" s="149"/>
      <c r="B28" s="147" t="s">
        <v>27</v>
      </c>
      <c r="C28" s="160">
        <v>1</v>
      </c>
      <c r="D28" s="161">
        <v>1046759</v>
      </c>
      <c r="E28" s="161">
        <f>C28*D28</f>
        <v>1046759</v>
      </c>
      <c r="F28" s="163">
        <v>1</v>
      </c>
      <c r="G28" s="163">
        <v>1</v>
      </c>
      <c r="H28" s="163">
        <v>1</v>
      </c>
      <c r="I28" s="163">
        <v>1</v>
      </c>
      <c r="J28" s="163">
        <v>1</v>
      </c>
      <c r="K28" s="163">
        <v>1</v>
      </c>
      <c r="L28" s="163">
        <v>1</v>
      </c>
      <c r="M28" s="163"/>
      <c r="N28" s="164"/>
      <c r="O28" s="13"/>
      <c r="P28" s="13"/>
      <c r="Q28" s="13"/>
      <c r="R28" s="13"/>
      <c r="S28" s="16"/>
      <c r="T28" s="16"/>
    </row>
    <row r="29" spans="1:20" ht="16.5" x14ac:dyDescent="0.25">
      <c r="A29" s="149"/>
      <c r="B29" s="145" t="s">
        <v>171</v>
      </c>
      <c r="C29" s="160">
        <v>2</v>
      </c>
      <c r="D29" s="161">
        <v>1943981</v>
      </c>
      <c r="E29" s="161">
        <f t="shared" ref="E29:E38" si="1">C29*D29</f>
        <v>3887962</v>
      </c>
      <c r="F29" s="163">
        <v>0</v>
      </c>
      <c r="G29" s="163">
        <v>0</v>
      </c>
      <c r="H29" s="163">
        <v>0</v>
      </c>
      <c r="I29" s="163">
        <v>0</v>
      </c>
      <c r="J29" s="163">
        <v>0.9999997427959062</v>
      </c>
      <c r="K29" s="163">
        <v>1</v>
      </c>
      <c r="L29" s="163">
        <v>1</v>
      </c>
      <c r="M29" s="163"/>
      <c r="N29" s="164"/>
      <c r="O29" s="13"/>
      <c r="P29" s="13"/>
      <c r="Q29" s="13"/>
      <c r="R29" s="13"/>
      <c r="S29" s="16"/>
      <c r="T29" s="16"/>
    </row>
    <row r="30" spans="1:20" ht="16.5" x14ac:dyDescent="0.25">
      <c r="A30" s="149"/>
      <c r="B30" s="145" t="s">
        <v>28</v>
      </c>
      <c r="C30" s="160">
        <v>8</v>
      </c>
      <c r="D30" s="161">
        <v>265457</v>
      </c>
      <c r="E30" s="161">
        <f t="shared" si="1"/>
        <v>2123656</v>
      </c>
      <c r="F30" s="163">
        <v>0</v>
      </c>
      <c r="G30" s="163">
        <v>0</v>
      </c>
      <c r="H30" s="163">
        <v>0.99999858734382496</v>
      </c>
      <c r="I30" s="163">
        <v>1</v>
      </c>
      <c r="J30" s="163">
        <v>1</v>
      </c>
      <c r="K30" s="163">
        <v>1</v>
      </c>
      <c r="L30" s="163">
        <v>1</v>
      </c>
      <c r="M30" s="163"/>
      <c r="N30" s="164"/>
      <c r="O30" s="13"/>
      <c r="P30" s="13"/>
      <c r="Q30" s="13"/>
      <c r="R30" s="13"/>
      <c r="S30" s="16"/>
      <c r="T30" s="16"/>
    </row>
    <row r="31" spans="1:20" ht="16.5" x14ac:dyDescent="0.25">
      <c r="A31" s="149"/>
      <c r="B31" s="147" t="s">
        <v>29</v>
      </c>
      <c r="C31" s="160">
        <v>3</v>
      </c>
      <c r="D31" s="161">
        <v>1046759</v>
      </c>
      <c r="E31" s="161">
        <f t="shared" si="1"/>
        <v>3140277</v>
      </c>
      <c r="F31" s="163">
        <v>0</v>
      </c>
      <c r="G31" s="163">
        <v>0</v>
      </c>
      <c r="H31" s="163">
        <v>0.99999968155685581</v>
      </c>
      <c r="I31" s="163">
        <v>1</v>
      </c>
      <c r="J31" s="163">
        <v>1</v>
      </c>
      <c r="K31" s="163">
        <v>1</v>
      </c>
      <c r="L31" s="163">
        <v>1</v>
      </c>
      <c r="M31" s="163"/>
      <c r="N31" s="164"/>
      <c r="O31" s="13"/>
      <c r="P31" s="13"/>
      <c r="Q31" s="13"/>
      <c r="R31" s="13"/>
      <c r="S31" s="16"/>
      <c r="T31" s="16"/>
    </row>
    <row r="32" spans="1:20" ht="16.5" x14ac:dyDescent="0.25">
      <c r="A32" s="149"/>
      <c r="B32" s="176" t="s">
        <v>30</v>
      </c>
      <c r="C32" s="160">
        <v>1</v>
      </c>
      <c r="D32" s="161">
        <v>2213148</v>
      </c>
      <c r="E32" s="161">
        <f t="shared" si="1"/>
        <v>2213148</v>
      </c>
      <c r="F32" s="163">
        <v>0</v>
      </c>
      <c r="G32" s="163">
        <v>0</v>
      </c>
      <c r="H32" s="163">
        <v>1</v>
      </c>
      <c r="I32" s="163">
        <v>1</v>
      </c>
      <c r="J32" s="163">
        <v>1</v>
      </c>
      <c r="K32" s="163">
        <v>1</v>
      </c>
      <c r="L32" s="163">
        <v>1</v>
      </c>
      <c r="M32" s="163"/>
      <c r="N32" s="164"/>
      <c r="O32" s="13"/>
      <c r="P32" s="13"/>
      <c r="Q32" s="13"/>
      <c r="R32" s="13"/>
      <c r="S32" s="16"/>
      <c r="T32" s="16"/>
    </row>
    <row r="33" spans="1:20" ht="33" x14ac:dyDescent="0.25">
      <c r="A33" s="149"/>
      <c r="B33" s="145" t="s">
        <v>31</v>
      </c>
      <c r="C33" s="160">
        <v>1</v>
      </c>
      <c r="D33" s="161">
        <v>2990741</v>
      </c>
      <c r="E33" s="161">
        <f t="shared" si="1"/>
        <v>2990741</v>
      </c>
      <c r="F33" s="163">
        <v>0</v>
      </c>
      <c r="G33" s="163">
        <v>0</v>
      </c>
      <c r="H33" s="163">
        <v>1</v>
      </c>
      <c r="I33" s="163">
        <v>1</v>
      </c>
      <c r="J33" s="163">
        <v>1</v>
      </c>
      <c r="K33" s="163">
        <v>1</v>
      </c>
      <c r="L33" s="163">
        <v>1</v>
      </c>
      <c r="M33" s="163"/>
      <c r="N33" s="164"/>
      <c r="O33" s="13"/>
      <c r="P33" s="13"/>
      <c r="Q33" s="13"/>
      <c r="R33" s="13"/>
      <c r="S33" s="16"/>
      <c r="T33" s="16"/>
    </row>
    <row r="34" spans="1:20" ht="16.5" x14ac:dyDescent="0.25">
      <c r="A34" s="149"/>
      <c r="B34" s="145" t="s">
        <v>32</v>
      </c>
      <c r="C34" s="160">
        <v>1</v>
      </c>
      <c r="D34" s="161">
        <v>2762963</v>
      </c>
      <c r="E34" s="161">
        <f t="shared" si="1"/>
        <v>2762963</v>
      </c>
      <c r="F34" s="163">
        <v>0</v>
      </c>
      <c r="G34" s="163">
        <v>0</v>
      </c>
      <c r="H34" s="163">
        <v>1</v>
      </c>
      <c r="I34" s="163">
        <v>1</v>
      </c>
      <c r="J34" s="163">
        <v>1</v>
      </c>
      <c r="K34" s="163">
        <v>1</v>
      </c>
      <c r="L34" s="163">
        <v>1</v>
      </c>
      <c r="M34" s="163"/>
      <c r="N34" s="164"/>
      <c r="O34" s="11"/>
      <c r="P34" s="11"/>
      <c r="Q34" s="11"/>
      <c r="R34" s="11"/>
    </row>
    <row r="35" spans="1:20" ht="16.5" x14ac:dyDescent="0.25">
      <c r="A35" s="149"/>
      <c r="B35" s="145" t="s">
        <v>33</v>
      </c>
      <c r="C35" s="160">
        <v>1</v>
      </c>
      <c r="D35" s="161">
        <v>2063611</v>
      </c>
      <c r="E35" s="161">
        <f t="shared" si="1"/>
        <v>2063611</v>
      </c>
      <c r="F35" s="163">
        <v>0</v>
      </c>
      <c r="G35" s="163">
        <v>0</v>
      </c>
      <c r="H35" s="163">
        <v>0</v>
      </c>
      <c r="I35" s="163">
        <v>0</v>
      </c>
      <c r="J35" s="163">
        <v>1</v>
      </c>
      <c r="K35" s="163">
        <v>1</v>
      </c>
      <c r="L35" s="163">
        <v>1</v>
      </c>
      <c r="M35" s="163"/>
      <c r="N35" s="164"/>
      <c r="O35" s="11"/>
      <c r="P35" s="11"/>
      <c r="Q35" s="11"/>
      <c r="R35" s="11"/>
    </row>
    <row r="36" spans="1:20" ht="16.5" x14ac:dyDescent="0.25">
      <c r="A36" s="149"/>
      <c r="B36" s="147" t="s">
        <v>34</v>
      </c>
      <c r="C36" s="160">
        <v>2</v>
      </c>
      <c r="D36" s="161">
        <v>1088630</v>
      </c>
      <c r="E36" s="161">
        <f t="shared" si="1"/>
        <v>2177260</v>
      </c>
      <c r="F36" s="163">
        <v>0</v>
      </c>
      <c r="G36" s="163">
        <v>0</v>
      </c>
      <c r="H36" s="163">
        <v>0</v>
      </c>
      <c r="I36" s="163">
        <v>0</v>
      </c>
      <c r="J36" s="163">
        <v>1.0000004592930836</v>
      </c>
      <c r="K36" s="163">
        <v>1</v>
      </c>
      <c r="L36" s="163">
        <v>1</v>
      </c>
      <c r="M36" s="163"/>
      <c r="N36" s="164"/>
      <c r="O36" s="13"/>
      <c r="P36" s="13"/>
      <c r="Q36" s="13"/>
      <c r="R36" s="13"/>
    </row>
    <row r="37" spans="1:20" ht="16.5" x14ac:dyDescent="0.25">
      <c r="A37" s="149"/>
      <c r="B37" s="147" t="s">
        <v>35</v>
      </c>
      <c r="C37" s="160">
        <v>2</v>
      </c>
      <c r="D37" s="161">
        <v>508426</v>
      </c>
      <c r="E37" s="161">
        <f t="shared" si="1"/>
        <v>1016852</v>
      </c>
      <c r="F37" s="163">
        <v>1</v>
      </c>
      <c r="G37" s="163">
        <v>1</v>
      </c>
      <c r="H37" s="163">
        <v>1</v>
      </c>
      <c r="I37" s="163">
        <v>1</v>
      </c>
      <c r="J37" s="163">
        <v>1</v>
      </c>
      <c r="K37" s="163">
        <v>1</v>
      </c>
      <c r="L37" s="163">
        <v>1</v>
      </c>
      <c r="M37" s="163"/>
      <c r="N37" s="164"/>
      <c r="O37" s="13"/>
      <c r="P37" s="13"/>
      <c r="Q37" s="13"/>
      <c r="R37" s="13"/>
    </row>
    <row r="38" spans="1:20" ht="16.5" x14ac:dyDescent="0.25">
      <c r="A38" s="149"/>
      <c r="B38" s="147" t="s">
        <v>36</v>
      </c>
      <c r="C38" s="160">
        <v>2</v>
      </c>
      <c r="D38" s="161">
        <v>2930926</v>
      </c>
      <c r="E38" s="161">
        <f t="shared" si="1"/>
        <v>5861852</v>
      </c>
      <c r="F38" s="163">
        <v>1</v>
      </c>
      <c r="G38" s="163">
        <v>1</v>
      </c>
      <c r="H38" s="163">
        <v>1</v>
      </c>
      <c r="I38" s="163">
        <v>1</v>
      </c>
      <c r="J38" s="163">
        <v>1</v>
      </c>
      <c r="K38" s="163">
        <v>1</v>
      </c>
      <c r="L38" s="163">
        <v>1</v>
      </c>
      <c r="M38" s="163"/>
      <c r="N38" s="164"/>
      <c r="O38" s="13"/>
      <c r="P38" s="13"/>
      <c r="Q38" s="13"/>
      <c r="R38" s="13"/>
    </row>
    <row r="39" spans="1:20" s="16" customFormat="1" ht="16.5" x14ac:dyDescent="0.25">
      <c r="A39" s="149"/>
      <c r="B39" s="146" t="s">
        <v>126</v>
      </c>
      <c r="C39" s="146"/>
      <c r="D39" s="146"/>
      <c r="E39" s="172">
        <f>SUM(E28:E38)</f>
        <v>29285081</v>
      </c>
      <c r="F39" s="166"/>
      <c r="G39" s="166"/>
      <c r="H39" s="167"/>
      <c r="I39" s="167"/>
      <c r="J39" s="167"/>
      <c r="K39" s="167"/>
      <c r="L39" s="166"/>
      <c r="M39" s="166"/>
      <c r="N39" s="167"/>
      <c r="O39" s="17"/>
      <c r="P39" s="17"/>
      <c r="Q39" s="17"/>
      <c r="R39" s="17"/>
    </row>
    <row r="40" spans="1:20" ht="16.5" x14ac:dyDescent="0.25">
      <c r="A40" s="149" t="s">
        <v>128</v>
      </c>
      <c r="B40" s="352" t="s">
        <v>127</v>
      </c>
      <c r="C40" s="352"/>
      <c r="D40" s="352"/>
      <c r="E40" s="178"/>
      <c r="F40" s="173"/>
      <c r="G40" s="173"/>
      <c r="H40" s="146"/>
      <c r="I40" s="146"/>
      <c r="J40" s="146"/>
      <c r="K40" s="146"/>
      <c r="L40" s="146"/>
      <c r="M40" s="250"/>
      <c r="N40" s="146"/>
      <c r="O40" s="18"/>
      <c r="P40" s="18"/>
      <c r="Q40" s="18"/>
      <c r="R40" s="18"/>
    </row>
    <row r="41" spans="1:20" ht="16.5" x14ac:dyDescent="0.25">
      <c r="A41" s="149"/>
      <c r="B41" s="147" t="s">
        <v>39</v>
      </c>
      <c r="C41" s="160"/>
      <c r="D41" s="161"/>
      <c r="E41" s="161"/>
      <c r="F41" s="169"/>
      <c r="G41" s="169"/>
      <c r="H41" s="160"/>
      <c r="I41" s="160"/>
      <c r="J41" s="160"/>
      <c r="K41" s="160"/>
      <c r="L41" s="147"/>
      <c r="M41" s="147"/>
      <c r="N41" s="147"/>
      <c r="O41" s="18"/>
      <c r="P41" s="18"/>
      <c r="Q41" s="18"/>
      <c r="R41" s="18"/>
    </row>
    <row r="42" spans="1:20" ht="16.5" x14ac:dyDescent="0.25">
      <c r="A42" s="149"/>
      <c r="B42" s="147" t="s">
        <v>40</v>
      </c>
      <c r="C42" s="160">
        <v>1</v>
      </c>
      <c r="D42" s="161">
        <v>1196296</v>
      </c>
      <c r="E42" s="161">
        <f>C42*D42</f>
        <v>1196296</v>
      </c>
      <c r="F42" s="163">
        <v>1</v>
      </c>
      <c r="G42" s="163">
        <v>1</v>
      </c>
      <c r="H42" s="163">
        <v>1</v>
      </c>
      <c r="I42" s="163">
        <v>1</v>
      </c>
      <c r="J42" s="163">
        <v>1</v>
      </c>
      <c r="K42" s="163">
        <v>1</v>
      </c>
      <c r="L42" s="163">
        <v>1</v>
      </c>
      <c r="M42" s="163"/>
      <c r="N42" s="164"/>
      <c r="O42" s="13"/>
      <c r="P42" s="13"/>
      <c r="Q42" s="13"/>
      <c r="R42" s="13"/>
    </row>
    <row r="43" spans="1:20" ht="16.5" x14ac:dyDescent="0.25">
      <c r="A43" s="149"/>
      <c r="B43" s="147" t="s">
        <v>41</v>
      </c>
      <c r="C43" s="160">
        <v>1</v>
      </c>
      <c r="D43" s="161">
        <v>598148</v>
      </c>
      <c r="E43" s="161">
        <f>C43*D43</f>
        <v>598148</v>
      </c>
      <c r="F43" s="163">
        <v>1</v>
      </c>
      <c r="G43" s="163">
        <v>1</v>
      </c>
      <c r="H43" s="163">
        <v>1</v>
      </c>
      <c r="I43" s="163">
        <v>1</v>
      </c>
      <c r="J43" s="163">
        <v>1</v>
      </c>
      <c r="K43" s="163">
        <v>1</v>
      </c>
      <c r="L43" s="163">
        <v>1</v>
      </c>
      <c r="M43" s="163"/>
      <c r="N43" s="164"/>
      <c r="O43" s="13"/>
      <c r="P43" s="13"/>
      <c r="Q43" s="13"/>
      <c r="R43" s="13"/>
    </row>
    <row r="44" spans="1:20" ht="16.5" x14ac:dyDescent="0.25">
      <c r="A44" s="149"/>
      <c r="B44" s="147" t="s">
        <v>42</v>
      </c>
      <c r="C44" s="160">
        <v>1</v>
      </c>
      <c r="D44" s="161">
        <v>598148</v>
      </c>
      <c r="E44" s="161">
        <f>C44*D44</f>
        <v>598148</v>
      </c>
      <c r="F44" s="163">
        <v>1</v>
      </c>
      <c r="G44" s="163">
        <v>1</v>
      </c>
      <c r="H44" s="163">
        <v>1</v>
      </c>
      <c r="I44" s="163">
        <v>1</v>
      </c>
      <c r="J44" s="163">
        <v>1</v>
      </c>
      <c r="K44" s="163">
        <v>1</v>
      </c>
      <c r="L44" s="163">
        <v>1</v>
      </c>
      <c r="M44" s="163"/>
      <c r="N44" s="164"/>
      <c r="O44" s="13"/>
      <c r="P44" s="13"/>
      <c r="Q44" s="13"/>
      <c r="R44" s="13"/>
    </row>
    <row r="45" spans="1:20" s="16" customFormat="1" ht="16.5" x14ac:dyDescent="0.25">
      <c r="A45" s="149"/>
      <c r="B45" s="146" t="s">
        <v>129</v>
      </c>
      <c r="C45" s="146"/>
      <c r="D45" s="146"/>
      <c r="E45" s="172">
        <f>SUM(E42:E44)</f>
        <v>2392592</v>
      </c>
      <c r="F45" s="166"/>
      <c r="G45" s="166"/>
      <c r="H45" s="167">
        <v>0</v>
      </c>
      <c r="I45" s="167"/>
      <c r="J45" s="167"/>
      <c r="K45" s="167"/>
      <c r="L45" s="166"/>
      <c r="M45" s="166"/>
      <c r="N45" s="167"/>
      <c r="O45" s="17"/>
      <c r="P45" s="17"/>
      <c r="Q45" s="17"/>
      <c r="R45" s="17"/>
    </row>
    <row r="46" spans="1:20" ht="16.5" x14ac:dyDescent="0.25">
      <c r="A46" s="149" t="s">
        <v>131</v>
      </c>
      <c r="B46" s="148" t="s">
        <v>130</v>
      </c>
      <c r="C46" s="160"/>
      <c r="D46" s="161"/>
      <c r="E46" s="161"/>
      <c r="F46" s="169"/>
      <c r="G46" s="169"/>
      <c r="H46" s="160"/>
      <c r="I46" s="160"/>
      <c r="J46" s="160"/>
      <c r="K46" s="160"/>
      <c r="L46" s="147"/>
      <c r="M46" s="147"/>
      <c r="N46" s="147"/>
      <c r="O46" s="18"/>
      <c r="P46" s="18"/>
      <c r="Q46" s="18"/>
      <c r="R46" s="18"/>
    </row>
    <row r="47" spans="1:20" ht="16.5" x14ac:dyDescent="0.25">
      <c r="A47" s="149" t="s">
        <v>133</v>
      </c>
      <c r="B47" s="148" t="s">
        <v>132</v>
      </c>
      <c r="C47" s="160"/>
      <c r="D47" s="161"/>
      <c r="E47" s="161"/>
      <c r="F47" s="169"/>
      <c r="G47" s="169"/>
      <c r="H47" s="160"/>
      <c r="I47" s="160"/>
      <c r="J47" s="160"/>
      <c r="K47" s="160"/>
      <c r="L47" s="147"/>
      <c r="M47" s="147"/>
      <c r="N47" s="147"/>
      <c r="O47" s="18"/>
      <c r="P47" s="18"/>
      <c r="Q47" s="18"/>
      <c r="R47" s="18"/>
    </row>
    <row r="48" spans="1:20" ht="16.5" x14ac:dyDescent="0.25">
      <c r="A48" s="149"/>
      <c r="B48" s="147" t="s">
        <v>45</v>
      </c>
      <c r="C48" s="160">
        <v>12</v>
      </c>
      <c r="D48" s="161">
        <v>89722</v>
      </c>
      <c r="E48" s="161">
        <f>C48*D48</f>
        <v>1076664</v>
      </c>
      <c r="F48" s="163">
        <v>0</v>
      </c>
      <c r="G48" s="163">
        <v>0</v>
      </c>
      <c r="H48" s="163">
        <v>0</v>
      </c>
      <c r="I48" s="163">
        <v>0</v>
      </c>
      <c r="J48" s="163">
        <v>1</v>
      </c>
      <c r="K48" s="163">
        <v>1</v>
      </c>
      <c r="L48" s="163">
        <v>1</v>
      </c>
      <c r="M48" s="163"/>
      <c r="N48" s="164"/>
      <c r="O48" s="13"/>
      <c r="P48" s="13"/>
      <c r="Q48" s="13"/>
      <c r="R48" s="13"/>
    </row>
    <row r="49" spans="1:19" ht="16.5" x14ac:dyDescent="0.25">
      <c r="A49" s="149"/>
      <c r="B49" s="304" t="s">
        <v>46</v>
      </c>
      <c r="C49" s="160">
        <v>3</v>
      </c>
      <c r="D49" s="161">
        <v>119630</v>
      </c>
      <c r="E49" s="161">
        <f>C49*D49</f>
        <v>358890</v>
      </c>
      <c r="F49" s="163">
        <v>0</v>
      </c>
      <c r="G49" s="163">
        <v>0</v>
      </c>
      <c r="H49" s="163">
        <v>0</v>
      </c>
      <c r="I49" s="163">
        <v>0</v>
      </c>
      <c r="J49" s="163">
        <v>0</v>
      </c>
      <c r="K49" s="163">
        <v>0</v>
      </c>
      <c r="L49" s="253">
        <v>1</v>
      </c>
      <c r="M49" s="253">
        <v>1</v>
      </c>
      <c r="N49" s="164"/>
      <c r="O49" s="13"/>
      <c r="P49" s="13"/>
      <c r="Q49" s="13"/>
      <c r="R49" s="13"/>
    </row>
    <row r="50" spans="1:19" ht="16.5" x14ac:dyDescent="0.25">
      <c r="A50" s="149"/>
      <c r="B50" s="147" t="s">
        <v>47</v>
      </c>
      <c r="C50" s="160">
        <v>2</v>
      </c>
      <c r="D50" s="161">
        <v>193800</v>
      </c>
      <c r="E50" s="161">
        <f>C50*D50</f>
        <v>387600</v>
      </c>
      <c r="F50" s="163">
        <v>1</v>
      </c>
      <c r="G50" s="163">
        <v>1</v>
      </c>
      <c r="H50" s="163">
        <v>1</v>
      </c>
      <c r="I50" s="163">
        <v>1</v>
      </c>
      <c r="J50" s="163">
        <v>1</v>
      </c>
      <c r="K50" s="163">
        <v>1</v>
      </c>
      <c r="L50" s="163">
        <v>1</v>
      </c>
      <c r="M50" s="163"/>
      <c r="N50" s="164"/>
      <c r="O50" s="11"/>
      <c r="P50" s="11"/>
      <c r="Q50" s="11"/>
      <c r="R50" s="11"/>
    </row>
    <row r="51" spans="1:19" ht="16.5" x14ac:dyDescent="0.25">
      <c r="A51" s="149"/>
      <c r="B51" s="147" t="s">
        <v>48</v>
      </c>
      <c r="C51" s="160">
        <v>3</v>
      </c>
      <c r="D51" s="161">
        <v>119630</v>
      </c>
      <c r="E51" s="161">
        <f>C51*D51</f>
        <v>358890</v>
      </c>
      <c r="F51" s="163">
        <v>1</v>
      </c>
      <c r="G51" s="163">
        <v>1</v>
      </c>
      <c r="H51" s="163">
        <v>1</v>
      </c>
      <c r="I51" s="163">
        <v>1</v>
      </c>
      <c r="J51" s="163">
        <v>1</v>
      </c>
      <c r="K51" s="163">
        <v>1</v>
      </c>
      <c r="L51" s="163">
        <v>1</v>
      </c>
      <c r="M51" s="163"/>
      <c r="N51" s="164"/>
      <c r="O51" s="13"/>
      <c r="P51" s="13"/>
      <c r="Q51" s="13"/>
      <c r="R51" s="13"/>
      <c r="S51" s="16"/>
    </row>
    <row r="52" spans="1:19" ht="16.5" x14ac:dyDescent="0.25">
      <c r="A52" s="149"/>
      <c r="B52" s="147" t="s">
        <v>49</v>
      </c>
      <c r="C52" s="160">
        <v>2</v>
      </c>
      <c r="D52" s="161">
        <v>209352</v>
      </c>
      <c r="E52" s="161">
        <f>C52*D52</f>
        <v>418704</v>
      </c>
      <c r="F52" s="163">
        <v>1</v>
      </c>
      <c r="G52" s="163">
        <v>1</v>
      </c>
      <c r="H52" s="163">
        <v>1</v>
      </c>
      <c r="I52" s="163">
        <v>1</v>
      </c>
      <c r="J52" s="163">
        <v>1</v>
      </c>
      <c r="K52" s="163">
        <v>1</v>
      </c>
      <c r="L52" s="163">
        <v>1</v>
      </c>
      <c r="M52" s="163" t="s">
        <v>190</v>
      </c>
      <c r="N52" s="164"/>
      <c r="O52" s="13"/>
      <c r="P52" s="13"/>
      <c r="Q52" s="13"/>
      <c r="R52" s="13"/>
      <c r="S52" s="16"/>
    </row>
    <row r="53" spans="1:19" ht="16.5" x14ac:dyDescent="0.25">
      <c r="A53" s="149"/>
      <c r="B53" s="146" t="s">
        <v>50</v>
      </c>
      <c r="C53" s="146"/>
      <c r="D53" s="146"/>
      <c r="E53" s="172">
        <f>SUM(E48:E52)</f>
        <v>2600748</v>
      </c>
      <c r="F53" s="166"/>
      <c r="G53" s="166"/>
      <c r="H53" s="167">
        <v>0</v>
      </c>
      <c r="I53" s="167"/>
      <c r="J53" s="167"/>
      <c r="K53" s="167"/>
      <c r="L53" s="166"/>
      <c r="M53" s="166"/>
      <c r="N53" s="167"/>
      <c r="O53" s="17"/>
      <c r="P53" s="17"/>
      <c r="Q53" s="17"/>
      <c r="R53" s="17"/>
      <c r="S53" s="16"/>
    </row>
    <row r="54" spans="1:19" ht="16.5" x14ac:dyDescent="0.25">
      <c r="A54" s="149" t="s">
        <v>135</v>
      </c>
      <c r="B54" s="148" t="s">
        <v>134</v>
      </c>
      <c r="C54" s="160"/>
      <c r="D54" s="161"/>
      <c r="E54" s="161"/>
      <c r="F54" s="169"/>
      <c r="G54" s="169"/>
      <c r="H54" s="160"/>
      <c r="I54" s="160"/>
      <c r="J54" s="160"/>
      <c r="K54" s="160"/>
      <c r="L54" s="147"/>
      <c r="M54" s="147"/>
      <c r="N54" s="147"/>
      <c r="O54" s="18"/>
      <c r="P54" s="18"/>
      <c r="Q54" s="18"/>
      <c r="R54" s="18"/>
      <c r="S54" s="16"/>
    </row>
    <row r="55" spans="1:19" ht="16.5" x14ac:dyDescent="0.25">
      <c r="A55" s="149"/>
      <c r="B55" s="147" t="s">
        <v>52</v>
      </c>
      <c r="C55" s="160">
        <v>2</v>
      </c>
      <c r="D55" s="161">
        <v>412722</v>
      </c>
      <c r="E55" s="161">
        <f>C55*D55</f>
        <v>825444</v>
      </c>
      <c r="F55" s="163">
        <v>1</v>
      </c>
      <c r="G55" s="163">
        <v>1</v>
      </c>
      <c r="H55" s="163">
        <v>1</v>
      </c>
      <c r="I55" s="163">
        <v>1</v>
      </c>
      <c r="J55" s="163">
        <v>1</v>
      </c>
      <c r="K55" s="163">
        <v>1</v>
      </c>
      <c r="L55" s="163">
        <v>1</v>
      </c>
      <c r="M55" s="163"/>
      <c r="N55" s="164"/>
      <c r="O55" s="13"/>
      <c r="P55" s="13"/>
      <c r="Q55" s="13"/>
      <c r="R55" s="13"/>
      <c r="S55" s="16"/>
    </row>
    <row r="56" spans="1:19" ht="16.5" x14ac:dyDescent="0.25">
      <c r="A56" s="149"/>
      <c r="B56" s="147" t="s">
        <v>53</v>
      </c>
      <c r="C56" s="160">
        <v>1</v>
      </c>
      <c r="D56" s="161">
        <v>583793</v>
      </c>
      <c r="E56" s="161">
        <f>C56*D56</f>
        <v>583793</v>
      </c>
      <c r="F56" s="163">
        <v>1</v>
      </c>
      <c r="G56" s="163">
        <v>1</v>
      </c>
      <c r="H56" s="163">
        <v>1</v>
      </c>
      <c r="I56" s="163">
        <v>1</v>
      </c>
      <c r="J56" s="163">
        <v>1</v>
      </c>
      <c r="K56" s="163">
        <v>1</v>
      </c>
      <c r="L56" s="163">
        <v>1</v>
      </c>
      <c r="M56" s="163"/>
      <c r="N56" s="164"/>
      <c r="O56" s="13"/>
      <c r="P56" s="13"/>
      <c r="Q56" s="13"/>
      <c r="R56" s="13"/>
      <c r="S56" s="16"/>
    </row>
    <row r="57" spans="1:19" ht="16.5" x14ac:dyDescent="0.25">
      <c r="A57" s="149"/>
      <c r="B57" s="147" t="s">
        <v>164</v>
      </c>
      <c r="C57" s="160">
        <v>10</v>
      </c>
      <c r="D57" s="161">
        <v>67083</v>
      </c>
      <c r="E57" s="161">
        <f>C57*D57</f>
        <v>670830</v>
      </c>
      <c r="F57" s="163">
        <v>0.99999552794808844</v>
      </c>
      <c r="G57" s="163">
        <v>0.99999552794808844</v>
      </c>
      <c r="H57" s="163">
        <v>1</v>
      </c>
      <c r="I57" s="163">
        <v>1</v>
      </c>
      <c r="J57" s="163">
        <v>1</v>
      </c>
      <c r="K57" s="163">
        <v>1</v>
      </c>
      <c r="L57" s="163">
        <v>1</v>
      </c>
      <c r="M57" s="163"/>
      <c r="N57" s="164"/>
      <c r="O57" s="13"/>
      <c r="P57" s="13"/>
      <c r="Q57" s="13"/>
      <c r="R57" s="13"/>
      <c r="S57" s="16"/>
    </row>
    <row r="58" spans="1:19" ht="16.5" x14ac:dyDescent="0.25">
      <c r="A58" s="149"/>
      <c r="B58" s="147" t="s">
        <v>55</v>
      </c>
      <c r="C58" s="160">
        <v>8</v>
      </c>
      <c r="D58" s="161">
        <v>78333</v>
      </c>
      <c r="E58" s="161">
        <f>C58*D58</f>
        <v>626664</v>
      </c>
      <c r="F58" s="163">
        <v>0.99999521276850389</v>
      </c>
      <c r="G58" s="163">
        <v>0.99999521276850389</v>
      </c>
      <c r="H58" s="163">
        <v>1</v>
      </c>
      <c r="I58" s="163">
        <v>1</v>
      </c>
      <c r="J58" s="163">
        <v>1</v>
      </c>
      <c r="K58" s="163">
        <v>1</v>
      </c>
      <c r="L58" s="163">
        <v>1</v>
      </c>
      <c r="M58" s="163"/>
      <c r="N58" s="164"/>
      <c r="O58" s="13"/>
      <c r="P58" s="13"/>
      <c r="Q58" s="13"/>
      <c r="R58" s="13"/>
      <c r="S58" s="16"/>
    </row>
    <row r="59" spans="1:19" ht="16.5" x14ac:dyDescent="0.25">
      <c r="A59" s="149"/>
      <c r="B59" s="147" t="s">
        <v>56</v>
      </c>
      <c r="C59" s="160">
        <v>1</v>
      </c>
      <c r="D59" s="161">
        <v>6447074</v>
      </c>
      <c r="E59" s="161">
        <f>C59*D59</f>
        <v>6447074</v>
      </c>
      <c r="F59" s="163">
        <v>1</v>
      </c>
      <c r="G59" s="163">
        <v>1</v>
      </c>
      <c r="H59" s="163">
        <v>1</v>
      </c>
      <c r="I59" s="163">
        <v>1</v>
      </c>
      <c r="J59" s="163">
        <v>1</v>
      </c>
      <c r="K59" s="163">
        <v>1</v>
      </c>
      <c r="L59" s="163">
        <v>1</v>
      </c>
      <c r="M59" s="163"/>
      <c r="N59" s="164"/>
      <c r="O59" s="13"/>
      <c r="P59" s="13"/>
      <c r="Q59" s="13"/>
      <c r="R59" s="13"/>
      <c r="S59" s="16"/>
    </row>
    <row r="60" spans="1:19" s="16" customFormat="1" ht="16.5" x14ac:dyDescent="0.25">
      <c r="A60" s="149"/>
      <c r="B60" s="146" t="s">
        <v>57</v>
      </c>
      <c r="C60" s="146"/>
      <c r="D60" s="146"/>
      <c r="E60" s="172">
        <f>SUM(E55:E59)</f>
        <v>9153805</v>
      </c>
      <c r="F60" s="166"/>
      <c r="G60" s="166"/>
      <c r="H60" s="167">
        <v>0</v>
      </c>
      <c r="I60" s="167"/>
      <c r="J60" s="167"/>
      <c r="K60" s="167"/>
      <c r="L60" s="166"/>
      <c r="M60" s="166"/>
      <c r="N60" s="167"/>
      <c r="O60" s="17"/>
      <c r="P60" s="17"/>
      <c r="Q60" s="17"/>
      <c r="R60" s="17"/>
    </row>
    <row r="61" spans="1:19" ht="16.5" x14ac:dyDescent="0.25">
      <c r="A61" s="149" t="s">
        <v>136</v>
      </c>
      <c r="B61" s="148" t="s">
        <v>173</v>
      </c>
      <c r="C61" s="160"/>
      <c r="D61" s="161"/>
      <c r="E61" s="161"/>
      <c r="F61" s="169"/>
      <c r="G61" s="169"/>
      <c r="H61" s="160"/>
      <c r="I61" s="160"/>
      <c r="J61" s="160"/>
      <c r="K61" s="160"/>
      <c r="L61" s="147"/>
      <c r="M61" s="147"/>
      <c r="N61" s="147"/>
      <c r="O61" s="18"/>
      <c r="P61" s="18"/>
      <c r="Q61" s="18"/>
      <c r="R61" s="18"/>
      <c r="S61" s="16"/>
    </row>
    <row r="62" spans="1:19" ht="16.5" x14ac:dyDescent="0.25">
      <c r="A62" s="149"/>
      <c r="B62" s="304" t="s">
        <v>165</v>
      </c>
      <c r="C62" s="160">
        <v>16</v>
      </c>
      <c r="D62" s="161">
        <v>74170</v>
      </c>
      <c r="E62" s="161">
        <f>C62*D62</f>
        <v>1186720</v>
      </c>
      <c r="F62" s="163">
        <v>0</v>
      </c>
      <c r="G62" s="163">
        <v>0</v>
      </c>
      <c r="H62" s="163">
        <v>0</v>
      </c>
      <c r="I62" s="163">
        <v>0</v>
      </c>
      <c r="J62" s="163">
        <v>0</v>
      </c>
      <c r="K62" s="163">
        <v>0</v>
      </c>
      <c r="L62" s="253">
        <v>1</v>
      </c>
      <c r="M62" s="253">
        <v>1</v>
      </c>
      <c r="N62" s="164"/>
      <c r="O62" s="13"/>
      <c r="P62" s="13"/>
      <c r="Q62" s="13"/>
      <c r="R62" s="13"/>
      <c r="S62" s="16"/>
    </row>
    <row r="63" spans="1:19" ht="16.5" x14ac:dyDescent="0.25">
      <c r="A63" s="149"/>
      <c r="B63" s="147" t="s">
        <v>58</v>
      </c>
      <c r="C63" s="160">
        <v>6</v>
      </c>
      <c r="D63" s="161">
        <v>227296</v>
      </c>
      <c r="E63" s="161">
        <f>C63*D63</f>
        <v>1363776</v>
      </c>
      <c r="F63" s="163">
        <v>0</v>
      </c>
      <c r="G63" s="163">
        <v>0</v>
      </c>
      <c r="H63" s="163">
        <v>0</v>
      </c>
      <c r="I63" s="163">
        <v>0</v>
      </c>
      <c r="J63" s="163">
        <v>0.99999853348565526</v>
      </c>
      <c r="K63" s="163">
        <v>0.99999853348565526</v>
      </c>
      <c r="L63" s="163">
        <v>1</v>
      </c>
      <c r="M63" s="163"/>
      <c r="N63" s="164"/>
      <c r="O63" s="13"/>
      <c r="P63" s="13"/>
      <c r="Q63" s="13"/>
      <c r="R63" s="13"/>
      <c r="S63" s="16"/>
    </row>
    <row r="64" spans="1:19" s="16" customFormat="1" ht="16.5" x14ac:dyDescent="0.25">
      <c r="A64" s="149"/>
      <c r="B64" s="146" t="s">
        <v>59</v>
      </c>
      <c r="C64" s="146"/>
      <c r="D64" s="146"/>
      <c r="E64" s="172">
        <f>SUM(E62:E63)</f>
        <v>2550496</v>
      </c>
      <c r="F64" s="166"/>
      <c r="G64" s="166"/>
      <c r="H64" s="167">
        <v>0</v>
      </c>
      <c r="I64" s="167"/>
      <c r="J64" s="167"/>
      <c r="K64" s="167"/>
      <c r="L64" s="166"/>
      <c r="M64" s="166"/>
      <c r="N64" s="168"/>
      <c r="O64" s="17"/>
      <c r="P64" s="17"/>
      <c r="Q64" s="17"/>
      <c r="R64" s="17"/>
    </row>
    <row r="65" spans="1:19" ht="16.5" x14ac:dyDescent="0.25">
      <c r="A65" s="149" t="s">
        <v>138</v>
      </c>
      <c r="B65" s="148" t="s">
        <v>137</v>
      </c>
      <c r="C65" s="160"/>
      <c r="D65" s="161"/>
      <c r="E65" s="161"/>
      <c r="F65" s="169"/>
      <c r="G65" s="169"/>
      <c r="H65" s="160"/>
      <c r="I65" s="160"/>
      <c r="J65" s="160"/>
      <c r="K65" s="160"/>
      <c r="L65" s="147"/>
      <c r="M65" s="147"/>
      <c r="N65" s="147"/>
      <c r="O65" s="18"/>
      <c r="P65" s="18"/>
      <c r="Q65" s="18"/>
      <c r="R65" s="18"/>
      <c r="S65" s="16"/>
    </row>
    <row r="66" spans="1:19" ht="16.5" x14ac:dyDescent="0.25">
      <c r="A66" s="149"/>
      <c r="B66" s="147" t="s">
        <v>166</v>
      </c>
      <c r="C66" s="160">
        <v>6</v>
      </c>
      <c r="D66" s="161">
        <v>133656</v>
      </c>
      <c r="E66" s="161">
        <f>C66*D66</f>
        <v>801936</v>
      </c>
      <c r="F66" s="163">
        <v>1</v>
      </c>
      <c r="G66" s="163">
        <v>1</v>
      </c>
      <c r="H66" s="163">
        <v>1</v>
      </c>
      <c r="I66" s="163">
        <v>1</v>
      </c>
      <c r="J66" s="163">
        <v>1</v>
      </c>
      <c r="K66" s="163">
        <v>1</v>
      </c>
      <c r="L66" s="163">
        <v>1</v>
      </c>
      <c r="M66" s="163"/>
      <c r="N66" s="164"/>
      <c r="O66" s="13"/>
      <c r="P66" s="13"/>
      <c r="Q66" s="13"/>
      <c r="R66" s="13"/>
      <c r="S66" s="16"/>
    </row>
    <row r="67" spans="1:19" ht="16.5" x14ac:dyDescent="0.25">
      <c r="A67" s="149"/>
      <c r="B67" s="179" t="s">
        <v>61</v>
      </c>
      <c r="C67" s="160">
        <v>2</v>
      </c>
      <c r="D67" s="161">
        <v>466556</v>
      </c>
      <c r="E67" s="161">
        <f>C67*D67</f>
        <v>933112</v>
      </c>
      <c r="F67" s="163">
        <v>1</v>
      </c>
      <c r="G67" s="163">
        <v>1</v>
      </c>
      <c r="H67" s="163">
        <v>1</v>
      </c>
      <c r="I67" s="163">
        <v>1</v>
      </c>
      <c r="J67" s="163">
        <v>1</v>
      </c>
      <c r="K67" s="163">
        <v>1</v>
      </c>
      <c r="L67" s="163">
        <v>1</v>
      </c>
      <c r="M67" s="163"/>
      <c r="N67" s="164"/>
      <c r="O67" s="13"/>
      <c r="P67" s="13"/>
      <c r="Q67" s="13"/>
      <c r="R67" s="13"/>
      <c r="S67" s="16"/>
    </row>
    <row r="68" spans="1:19" ht="16.5" x14ac:dyDescent="0.25">
      <c r="A68" s="149"/>
      <c r="B68" s="146" t="s">
        <v>62</v>
      </c>
      <c r="C68" s="146"/>
      <c r="D68" s="146"/>
      <c r="E68" s="172">
        <f>SUM(E66:E67)</f>
        <v>1735048</v>
      </c>
      <c r="F68" s="166"/>
      <c r="G68" s="166"/>
      <c r="H68" s="167">
        <v>0</v>
      </c>
      <c r="I68" s="167"/>
      <c r="J68" s="167"/>
      <c r="K68" s="167"/>
      <c r="L68" s="166"/>
      <c r="M68" s="166"/>
      <c r="N68" s="167"/>
      <c r="O68" s="17"/>
      <c r="P68" s="17"/>
      <c r="Q68" s="17"/>
      <c r="R68" s="17"/>
      <c r="S68" s="16"/>
    </row>
    <row r="69" spans="1:19" ht="16.5" x14ac:dyDescent="0.25">
      <c r="A69" s="149" t="s">
        <v>140</v>
      </c>
      <c r="B69" s="178" t="s">
        <v>139</v>
      </c>
      <c r="C69" s="160"/>
      <c r="D69" s="161"/>
      <c r="E69" s="161"/>
      <c r="F69" s="169"/>
      <c r="G69" s="169"/>
      <c r="H69" s="160"/>
      <c r="I69" s="160"/>
      <c r="J69" s="160"/>
      <c r="K69" s="160"/>
      <c r="L69" s="147"/>
      <c r="M69" s="147"/>
      <c r="N69" s="147"/>
      <c r="O69" s="18"/>
      <c r="P69" s="18"/>
      <c r="Q69" s="18"/>
      <c r="R69" s="18"/>
      <c r="S69" s="16"/>
    </row>
    <row r="70" spans="1:19" ht="16.5" x14ac:dyDescent="0.25">
      <c r="A70" s="149"/>
      <c r="B70" s="179" t="s">
        <v>95</v>
      </c>
      <c r="C70" s="160">
        <v>3</v>
      </c>
      <c r="D70" s="161">
        <v>171070</v>
      </c>
      <c r="E70" s="161">
        <f>C70*D70</f>
        <v>513210</v>
      </c>
      <c r="F70" s="163">
        <v>1</v>
      </c>
      <c r="G70" s="163">
        <v>1</v>
      </c>
      <c r="H70" s="163">
        <v>1</v>
      </c>
      <c r="I70" s="163">
        <v>1</v>
      </c>
      <c r="J70" s="163">
        <v>1</v>
      </c>
      <c r="K70" s="163">
        <v>1</v>
      </c>
      <c r="L70" s="163">
        <v>1</v>
      </c>
      <c r="M70" s="163"/>
      <c r="N70" s="164"/>
      <c r="O70" s="13"/>
      <c r="P70" s="13"/>
      <c r="Q70" s="13"/>
      <c r="R70" s="13"/>
      <c r="S70" s="16"/>
    </row>
    <row r="71" spans="1:19" ht="16.5" x14ac:dyDescent="0.25">
      <c r="A71" s="149"/>
      <c r="B71" s="179" t="s">
        <v>97</v>
      </c>
      <c r="C71" s="160">
        <v>1</v>
      </c>
      <c r="D71" s="161">
        <v>215333</v>
      </c>
      <c r="E71" s="161">
        <f>C71*D71</f>
        <v>215333</v>
      </c>
      <c r="F71" s="163">
        <v>0</v>
      </c>
      <c r="G71" s="163">
        <v>0</v>
      </c>
      <c r="H71" s="163">
        <v>0</v>
      </c>
      <c r="I71" s="163">
        <v>0</v>
      </c>
      <c r="J71" s="163">
        <v>1</v>
      </c>
      <c r="K71" s="163">
        <v>1</v>
      </c>
      <c r="L71" s="163">
        <v>1</v>
      </c>
      <c r="M71" s="163"/>
      <c r="N71" s="164"/>
      <c r="O71" s="13"/>
      <c r="P71" s="13"/>
      <c r="Q71" s="13"/>
      <c r="R71" s="13"/>
      <c r="S71" s="16"/>
    </row>
    <row r="72" spans="1:19" ht="16.5" x14ac:dyDescent="0.25">
      <c r="A72" s="149"/>
      <c r="B72" s="179" t="s">
        <v>64</v>
      </c>
      <c r="C72" s="160">
        <v>40</v>
      </c>
      <c r="D72" s="161">
        <v>35291</v>
      </c>
      <c r="E72" s="161">
        <f>C72*D72</f>
        <v>1411640</v>
      </c>
      <c r="F72" s="163">
        <v>0</v>
      </c>
      <c r="G72" s="163">
        <v>0</v>
      </c>
      <c r="H72" s="163">
        <v>0</v>
      </c>
      <c r="I72" s="163">
        <v>0</v>
      </c>
      <c r="J72" s="163">
        <v>1.0000070840092659</v>
      </c>
      <c r="K72" s="163">
        <v>1</v>
      </c>
      <c r="L72" s="163">
        <v>1</v>
      </c>
      <c r="M72" s="163"/>
      <c r="N72" s="164"/>
      <c r="O72" s="13"/>
      <c r="P72" s="13"/>
      <c r="Q72" s="13"/>
      <c r="R72" s="13"/>
      <c r="S72" s="16"/>
    </row>
    <row r="73" spans="1:19" ht="16.5" x14ac:dyDescent="0.25">
      <c r="A73" s="149"/>
      <c r="B73" s="328" t="s">
        <v>96</v>
      </c>
      <c r="C73" s="160">
        <v>50</v>
      </c>
      <c r="D73" s="161">
        <v>23926</v>
      </c>
      <c r="E73" s="161">
        <f>C73*D73</f>
        <v>1196300</v>
      </c>
      <c r="F73" s="163">
        <v>0</v>
      </c>
      <c r="G73" s="163">
        <v>0</v>
      </c>
      <c r="H73" s="163">
        <v>0</v>
      </c>
      <c r="I73" s="163">
        <v>0</v>
      </c>
      <c r="J73" s="163">
        <v>0</v>
      </c>
      <c r="K73" s="163">
        <v>0</v>
      </c>
      <c r="L73" s="253">
        <v>1</v>
      </c>
      <c r="M73" s="253">
        <v>1</v>
      </c>
      <c r="N73" s="164"/>
      <c r="O73" s="13"/>
      <c r="P73" s="13"/>
      <c r="Q73" s="13"/>
      <c r="R73" s="13"/>
      <c r="S73" s="16"/>
    </row>
    <row r="74" spans="1:19" ht="16.5" x14ac:dyDescent="0.25">
      <c r="A74" s="149"/>
      <c r="B74" s="179" t="s">
        <v>65</v>
      </c>
      <c r="C74" s="160">
        <v>18</v>
      </c>
      <c r="D74" s="161">
        <v>118433</v>
      </c>
      <c r="E74" s="161">
        <f>C74*D74</f>
        <v>2131794</v>
      </c>
      <c r="F74" s="163">
        <v>0</v>
      </c>
      <c r="G74" s="163">
        <v>0</v>
      </c>
      <c r="H74" s="163">
        <v>0</v>
      </c>
      <c r="I74" s="163">
        <v>0</v>
      </c>
      <c r="J74" s="163">
        <v>0.99999718547706162</v>
      </c>
      <c r="K74" s="163">
        <v>1</v>
      </c>
      <c r="L74" s="163">
        <v>1</v>
      </c>
      <c r="M74" s="163"/>
      <c r="N74" s="164"/>
      <c r="O74" s="13"/>
      <c r="P74" s="13"/>
      <c r="Q74" s="13"/>
      <c r="R74" s="13"/>
      <c r="S74" s="16"/>
    </row>
    <row r="75" spans="1:19" s="16" customFormat="1" ht="16.5" x14ac:dyDescent="0.25">
      <c r="A75" s="149"/>
      <c r="B75" s="146" t="s">
        <v>66</v>
      </c>
      <c r="C75" s="146"/>
      <c r="D75" s="146"/>
      <c r="E75" s="172">
        <f>SUM(E70:E74)</f>
        <v>5468277</v>
      </c>
      <c r="F75" s="166"/>
      <c r="G75" s="166"/>
      <c r="H75" s="167">
        <v>0</v>
      </c>
      <c r="I75" s="167"/>
      <c r="J75" s="167"/>
      <c r="K75" s="167"/>
      <c r="L75" s="166"/>
      <c r="M75" s="166"/>
      <c r="N75" s="167"/>
      <c r="O75" s="17"/>
      <c r="P75" s="17"/>
      <c r="Q75" s="17"/>
      <c r="R75" s="17"/>
    </row>
    <row r="76" spans="1:19" ht="16.5" x14ac:dyDescent="0.25">
      <c r="A76" s="149" t="s">
        <v>142</v>
      </c>
      <c r="B76" s="352" t="s">
        <v>141</v>
      </c>
      <c r="C76" s="352"/>
      <c r="D76" s="352"/>
      <c r="E76" s="178"/>
      <c r="F76" s="169"/>
      <c r="G76" s="169"/>
      <c r="H76" s="160"/>
      <c r="I76" s="160"/>
      <c r="J76" s="160"/>
      <c r="K76" s="160"/>
      <c r="L76" s="147"/>
      <c r="M76" s="147"/>
      <c r="N76" s="147"/>
      <c r="O76" s="18"/>
      <c r="P76" s="18"/>
      <c r="Q76" s="18"/>
      <c r="R76" s="18"/>
      <c r="S76" s="16"/>
    </row>
    <row r="77" spans="1:19" ht="16.5" x14ac:dyDescent="0.25">
      <c r="A77" s="149"/>
      <c r="B77" s="147" t="s">
        <v>69</v>
      </c>
      <c r="C77" s="160">
        <v>12</v>
      </c>
      <c r="D77" s="161">
        <v>95704</v>
      </c>
      <c r="E77" s="161">
        <f>C77*D77</f>
        <v>1148448</v>
      </c>
      <c r="F77" s="163">
        <v>1</v>
      </c>
      <c r="G77" s="163">
        <v>1</v>
      </c>
      <c r="H77" s="163">
        <v>1</v>
      </c>
      <c r="I77" s="163">
        <v>1</v>
      </c>
      <c r="J77" s="163">
        <v>1</v>
      </c>
      <c r="K77" s="163">
        <v>1</v>
      </c>
      <c r="L77" s="163">
        <v>1</v>
      </c>
      <c r="M77" s="163"/>
      <c r="N77" s="164"/>
      <c r="O77" s="13"/>
      <c r="P77" s="13"/>
      <c r="Q77" s="13"/>
      <c r="R77" s="13"/>
      <c r="S77" s="16"/>
    </row>
    <row r="78" spans="1:19" s="16" customFormat="1" ht="16.5" x14ac:dyDescent="0.25">
      <c r="A78" s="149"/>
      <c r="B78" s="147" t="s">
        <v>172</v>
      </c>
      <c r="C78" s="160">
        <v>36</v>
      </c>
      <c r="D78" s="161">
        <v>47852</v>
      </c>
      <c r="E78" s="161">
        <f>C78*D78</f>
        <v>1722672</v>
      </c>
      <c r="F78" s="163">
        <v>1</v>
      </c>
      <c r="G78" s="163">
        <v>1</v>
      </c>
      <c r="H78" s="163">
        <v>1</v>
      </c>
      <c r="I78" s="163">
        <v>1</v>
      </c>
      <c r="J78" s="163">
        <v>1</v>
      </c>
      <c r="K78" s="163">
        <v>1</v>
      </c>
      <c r="L78" s="163">
        <v>1</v>
      </c>
      <c r="M78" s="163"/>
      <c r="N78" s="164"/>
      <c r="O78" s="13"/>
      <c r="P78" s="13"/>
      <c r="Q78" s="13"/>
      <c r="R78" s="13"/>
    </row>
    <row r="79" spans="1:19" s="16" customFormat="1" ht="16.5" x14ac:dyDescent="0.25">
      <c r="A79" s="149"/>
      <c r="B79" s="146" t="s">
        <v>70</v>
      </c>
      <c r="C79" s="180"/>
      <c r="D79" s="180"/>
      <c r="E79" s="181">
        <f>SUM(E77:E78)</f>
        <v>2871120</v>
      </c>
      <c r="F79" s="163"/>
      <c r="G79" s="163"/>
      <c r="H79" s="182">
        <v>0</v>
      </c>
      <c r="I79" s="182"/>
      <c r="J79" s="182"/>
      <c r="K79" s="182"/>
      <c r="L79" s="166"/>
      <c r="M79" s="166"/>
      <c r="N79" s="167"/>
      <c r="O79" s="13"/>
      <c r="P79" s="13"/>
      <c r="Q79" s="13"/>
      <c r="R79" s="13"/>
    </row>
    <row r="80" spans="1:19" s="16" customFormat="1" ht="33" x14ac:dyDescent="0.25">
      <c r="A80" s="149"/>
      <c r="B80" s="183" t="s">
        <v>148</v>
      </c>
      <c r="C80" s="160"/>
      <c r="D80" s="161"/>
      <c r="E80" s="165">
        <f>E79+E75+E68+E64+E60+E53+E45+E39+E26+E21+E17+E8</f>
        <v>161577077</v>
      </c>
      <c r="F80" s="163"/>
      <c r="G80" s="163"/>
      <c r="H80" s="184"/>
      <c r="I80" s="184"/>
      <c r="J80" s="184"/>
      <c r="K80" s="184"/>
      <c r="L80" s="185"/>
      <c r="M80" s="185"/>
      <c r="N80" s="186"/>
      <c r="O80" s="14"/>
      <c r="P80" s="14"/>
      <c r="Q80" s="14"/>
      <c r="R80" s="14"/>
    </row>
    <row r="81" spans="1:19" s="16" customFormat="1" ht="33" x14ac:dyDescent="0.25">
      <c r="A81" s="149"/>
      <c r="B81" s="329" t="s">
        <v>187</v>
      </c>
      <c r="C81" s="160">
        <v>1</v>
      </c>
      <c r="D81" s="187">
        <v>56551979</v>
      </c>
      <c r="E81" s="165">
        <v>56551979</v>
      </c>
      <c r="F81" s="163" t="e">
        <f>#REF!</f>
        <v>#REF!</v>
      </c>
      <c r="G81" s="163">
        <v>0.22604131324917912</v>
      </c>
      <c r="H81" s="188">
        <v>8.1885282034073498E-2</v>
      </c>
      <c r="I81" s="163">
        <v>0.31</v>
      </c>
      <c r="J81" s="163">
        <v>0.39110803885395418</v>
      </c>
      <c r="K81" s="163">
        <v>0.94743611713393794</v>
      </c>
      <c r="L81" s="254">
        <v>1</v>
      </c>
      <c r="M81" s="254">
        <v>5.2563882866062062E-2</v>
      </c>
      <c r="N81" s="186"/>
      <c r="O81" s="14"/>
      <c r="P81" s="14"/>
      <c r="Q81" s="14"/>
      <c r="R81" s="14"/>
    </row>
    <row r="82" spans="1:19" ht="16.5" x14ac:dyDescent="0.25">
      <c r="A82" s="149" t="s">
        <v>144</v>
      </c>
      <c r="B82" s="148" t="s">
        <v>143</v>
      </c>
      <c r="C82" s="160"/>
      <c r="D82" s="161"/>
      <c r="E82" s="161"/>
      <c r="F82" s="169"/>
      <c r="G82" s="169"/>
      <c r="H82" s="160"/>
      <c r="I82" s="160"/>
      <c r="J82" s="160"/>
      <c r="K82" s="160"/>
      <c r="L82" s="147"/>
      <c r="M82" s="147"/>
      <c r="N82" s="147"/>
      <c r="O82" s="13"/>
      <c r="P82" s="13"/>
      <c r="Q82" s="13"/>
      <c r="R82" s="13"/>
    </row>
    <row r="83" spans="1:19" ht="33" x14ac:dyDescent="0.25">
      <c r="A83" s="149"/>
      <c r="B83" s="145" t="s">
        <v>71</v>
      </c>
      <c r="C83" s="160">
        <v>1</v>
      </c>
      <c r="D83" s="161">
        <v>2924789</v>
      </c>
      <c r="E83" s="161">
        <f>C83*D83</f>
        <v>2924789</v>
      </c>
      <c r="F83" s="189">
        <v>0</v>
      </c>
      <c r="G83" s="189">
        <v>0</v>
      </c>
      <c r="H83" s="190">
        <v>1</v>
      </c>
      <c r="I83" s="190">
        <v>1</v>
      </c>
      <c r="J83" s="190">
        <v>1</v>
      </c>
      <c r="K83" s="190">
        <v>1</v>
      </c>
      <c r="L83" s="163">
        <v>1</v>
      </c>
      <c r="M83" s="163"/>
      <c r="N83" s="164"/>
      <c r="O83" s="13"/>
      <c r="P83" s="13"/>
      <c r="Q83" s="13"/>
      <c r="R83" s="13"/>
    </row>
    <row r="84" spans="1:19" ht="33" x14ac:dyDescent="0.25">
      <c r="A84" s="149"/>
      <c r="B84" s="145" t="s">
        <v>72</v>
      </c>
      <c r="C84" s="160">
        <v>1</v>
      </c>
      <c r="D84" s="161">
        <v>3788875</v>
      </c>
      <c r="E84" s="161">
        <f>C84*D84</f>
        <v>3788875</v>
      </c>
      <c r="F84" s="189">
        <v>0</v>
      </c>
      <c r="G84" s="189">
        <v>0</v>
      </c>
      <c r="H84" s="190">
        <v>1</v>
      </c>
      <c r="I84" s="190">
        <v>1</v>
      </c>
      <c r="J84" s="190">
        <v>1</v>
      </c>
      <c r="K84" s="190">
        <v>1</v>
      </c>
      <c r="L84" s="163">
        <v>1</v>
      </c>
      <c r="M84" s="163"/>
      <c r="N84" s="164"/>
      <c r="O84" s="13"/>
      <c r="P84" s="13"/>
      <c r="Q84" s="13"/>
      <c r="R84" s="13"/>
    </row>
    <row r="85" spans="1:19" ht="16.5" x14ac:dyDescent="0.25">
      <c r="A85" s="149"/>
      <c r="B85" s="329" t="s">
        <v>188</v>
      </c>
      <c r="C85" s="160">
        <v>1</v>
      </c>
      <c r="D85" s="161">
        <v>31423246</v>
      </c>
      <c r="E85" s="161">
        <f>C85*D85</f>
        <v>31423246</v>
      </c>
      <c r="F85" s="189">
        <v>0.2</v>
      </c>
      <c r="G85" s="189">
        <v>0</v>
      </c>
      <c r="H85" s="190">
        <v>0</v>
      </c>
      <c r="I85" s="190">
        <v>0.2</v>
      </c>
      <c r="J85" s="190">
        <v>0.5</v>
      </c>
      <c r="K85" s="190">
        <v>0.7</v>
      </c>
      <c r="L85" s="253">
        <v>1</v>
      </c>
      <c r="M85" s="253">
        <v>0.30000000000000004</v>
      </c>
      <c r="N85" s="164"/>
      <c r="O85" s="13"/>
      <c r="P85" s="13"/>
      <c r="Q85" s="13"/>
      <c r="R85" s="13"/>
    </row>
    <row r="86" spans="1:19" ht="33" x14ac:dyDescent="0.25">
      <c r="A86" s="149"/>
      <c r="B86" s="329" t="s">
        <v>74</v>
      </c>
      <c r="C86" s="160">
        <v>1</v>
      </c>
      <c r="D86" s="161">
        <v>9326567</v>
      </c>
      <c r="E86" s="161">
        <f>C86*D86</f>
        <v>9326567</v>
      </c>
      <c r="F86" s="189">
        <v>0</v>
      </c>
      <c r="G86" s="189">
        <v>0</v>
      </c>
      <c r="H86" s="190">
        <v>0</v>
      </c>
      <c r="I86" s="190">
        <v>0</v>
      </c>
      <c r="J86" s="190">
        <v>0</v>
      </c>
      <c r="K86" s="190">
        <v>0.34</v>
      </c>
      <c r="L86" s="253">
        <v>1</v>
      </c>
      <c r="M86" s="253">
        <v>0.65999999999999992</v>
      </c>
      <c r="N86" s="164"/>
      <c r="O86" s="13"/>
      <c r="P86" s="13"/>
      <c r="Q86" s="13"/>
      <c r="R86" s="13"/>
    </row>
    <row r="87" spans="1:19" ht="16.5" x14ac:dyDescent="0.25">
      <c r="A87" s="149"/>
      <c r="B87" s="330" t="s">
        <v>168</v>
      </c>
      <c r="C87" s="160">
        <v>1</v>
      </c>
      <c r="D87" s="161">
        <v>9750000</v>
      </c>
      <c r="E87" s="161">
        <f>C87*D87</f>
        <v>9750000</v>
      </c>
      <c r="F87" s="189">
        <v>0.33333333333333331</v>
      </c>
      <c r="G87" s="189">
        <v>0.33333333333333331</v>
      </c>
      <c r="H87" s="190">
        <v>0.25000000000000006</v>
      </c>
      <c r="I87" s="190">
        <v>0.21</v>
      </c>
      <c r="J87" s="190">
        <v>0.89</v>
      </c>
      <c r="K87" s="190">
        <v>0.95</v>
      </c>
      <c r="L87" s="253">
        <v>1</v>
      </c>
      <c r="M87" s="323">
        <v>4.6699999999999998E-2</v>
      </c>
      <c r="N87" s="164"/>
      <c r="O87" s="14"/>
      <c r="P87" s="14"/>
      <c r="Q87" s="14"/>
      <c r="R87" s="14"/>
    </row>
    <row r="88" spans="1:19" s="16" customFormat="1" ht="16.5" x14ac:dyDescent="0.25">
      <c r="A88" s="149"/>
      <c r="B88" s="353" t="s">
        <v>145</v>
      </c>
      <c r="C88" s="353"/>
      <c r="D88" s="353"/>
      <c r="E88" s="192">
        <f>SUM(E83:E87)</f>
        <v>57213477</v>
      </c>
      <c r="F88" s="193"/>
      <c r="G88" s="193"/>
      <c r="H88" s="194"/>
      <c r="I88" s="195"/>
      <c r="J88" s="195"/>
      <c r="K88" s="195"/>
      <c r="L88" s="196"/>
      <c r="M88" s="196"/>
      <c r="N88" s="197"/>
      <c r="O88" s="15"/>
      <c r="P88" s="15"/>
      <c r="Q88" s="15"/>
      <c r="R88" s="15"/>
    </row>
    <row r="89" spans="1:19" x14ac:dyDescent="0.2">
      <c r="C89" s="7"/>
      <c r="D89" s="99"/>
      <c r="E89" s="99"/>
      <c r="H89" s="7"/>
      <c r="I89" s="7"/>
      <c r="J89" s="7"/>
      <c r="K89" s="10"/>
      <c r="L89" s="10"/>
      <c r="O89" s="16"/>
      <c r="P89" s="16"/>
      <c r="Q89" s="16"/>
      <c r="R89" s="16"/>
      <c r="S89" s="16"/>
    </row>
    <row r="90" spans="1:19" ht="16.5" x14ac:dyDescent="0.25">
      <c r="A90" s="313"/>
      <c r="B90" s="314"/>
      <c r="C90" s="7"/>
      <c r="D90" s="99"/>
      <c r="E90" s="324"/>
      <c r="F90" s="324"/>
      <c r="G90" s="324"/>
      <c r="H90" s="7"/>
      <c r="I90" s="302"/>
      <c r="J90" s="302"/>
      <c r="K90" s="306"/>
      <c r="L90" s="306"/>
      <c r="M90" s="302"/>
      <c r="N90" s="100"/>
      <c r="O90" s="16"/>
      <c r="P90" s="16"/>
      <c r="Q90" s="16"/>
      <c r="R90" s="16"/>
      <c r="S90" s="16"/>
    </row>
    <row r="91" spans="1:19" ht="14.25" customHeight="1" x14ac:dyDescent="0.2">
      <c r="A91" s="313"/>
      <c r="B91" s="251"/>
      <c r="C91" s="7"/>
      <c r="D91" s="99"/>
      <c r="E91" s="324"/>
      <c r="F91" s="324"/>
      <c r="G91" s="324"/>
      <c r="H91" s="7"/>
      <c r="I91" s="251"/>
      <c r="J91" s="251"/>
      <c r="K91" s="305"/>
      <c r="L91" s="305"/>
      <c r="M91" s="251"/>
    </row>
    <row r="92" spans="1:19" ht="49.5" x14ac:dyDescent="0.2">
      <c r="A92" s="313"/>
      <c r="B92" s="321" t="s">
        <v>240</v>
      </c>
      <c r="C92" s="339" t="s">
        <v>247</v>
      </c>
      <c r="D92" s="340"/>
      <c r="E92" s="340"/>
      <c r="F92" s="340"/>
      <c r="G92" s="341"/>
      <c r="H92" s="7"/>
      <c r="I92" s="251"/>
      <c r="J92" s="251"/>
      <c r="K92" s="305"/>
      <c r="L92" s="305"/>
      <c r="M92" s="251"/>
    </row>
    <row r="93" spans="1:19" ht="54.75" customHeight="1" x14ac:dyDescent="0.25">
      <c r="A93" s="313"/>
      <c r="B93" s="322" t="s">
        <v>241</v>
      </c>
      <c r="C93" s="342"/>
      <c r="D93" s="343"/>
      <c r="E93" s="343"/>
      <c r="F93" s="343"/>
      <c r="G93" s="344"/>
      <c r="H93" s="7"/>
      <c r="I93" s="251"/>
      <c r="J93" s="251"/>
      <c r="K93" s="305"/>
      <c r="L93" s="305"/>
      <c r="M93" s="251"/>
    </row>
    <row r="94" spans="1:19" ht="54.75" customHeight="1" x14ac:dyDescent="0.2">
      <c r="A94" s="313"/>
      <c r="B94" s="322" t="s">
        <v>242</v>
      </c>
      <c r="C94" s="331"/>
      <c r="D94" s="332"/>
      <c r="E94" s="332"/>
      <c r="F94" s="332"/>
      <c r="G94" s="333"/>
      <c r="H94" s="313"/>
      <c r="I94" s="251"/>
      <c r="J94" s="251"/>
      <c r="K94" s="305"/>
      <c r="L94" s="305"/>
      <c r="M94" s="251"/>
    </row>
    <row r="95" spans="1:19" ht="54.75" customHeight="1" x14ac:dyDescent="0.2">
      <c r="A95" s="313"/>
      <c r="B95" s="322" t="s">
        <v>246</v>
      </c>
      <c r="C95" s="331"/>
      <c r="D95" s="332"/>
      <c r="E95" s="332"/>
      <c r="F95" s="332"/>
      <c r="G95" s="333"/>
      <c r="H95" s="313"/>
      <c r="I95" s="313"/>
      <c r="J95" s="313"/>
      <c r="K95" s="251"/>
      <c r="L95" s="10"/>
    </row>
    <row r="96" spans="1:19" ht="54" customHeight="1" x14ac:dyDescent="0.2">
      <c r="A96" s="313"/>
      <c r="B96" s="322" t="s">
        <v>243</v>
      </c>
      <c r="C96" s="331"/>
      <c r="D96" s="332"/>
      <c r="E96" s="332"/>
      <c r="F96" s="332"/>
      <c r="G96" s="333"/>
      <c r="H96" s="313"/>
      <c r="I96" s="313"/>
      <c r="J96" s="313"/>
      <c r="K96" s="313"/>
    </row>
    <row r="97" spans="1:11" ht="54.75" customHeight="1" x14ac:dyDescent="0.25">
      <c r="A97" s="313"/>
      <c r="B97" s="322" t="s">
        <v>244</v>
      </c>
      <c r="C97" s="331"/>
      <c r="D97" s="332"/>
      <c r="E97" s="332"/>
      <c r="F97" s="332"/>
      <c r="G97" s="333"/>
      <c r="H97" s="313"/>
      <c r="I97" s="314"/>
      <c r="J97" s="314"/>
      <c r="K97" s="313"/>
    </row>
    <row r="98" spans="1:11" ht="54.75" customHeight="1" x14ac:dyDescent="0.25">
      <c r="A98" s="313"/>
      <c r="B98" s="322" t="s">
        <v>245</v>
      </c>
      <c r="C98" s="331"/>
      <c r="D98" s="332"/>
      <c r="E98" s="332"/>
      <c r="F98" s="332"/>
      <c r="G98" s="333"/>
      <c r="H98" s="313"/>
      <c r="I98" s="317"/>
      <c r="J98" s="317"/>
      <c r="K98" s="313"/>
    </row>
    <row r="99" spans="1:11" ht="14.25" customHeight="1" x14ac:dyDescent="0.25">
      <c r="A99" s="313"/>
      <c r="B99" s="317"/>
      <c r="C99" s="313"/>
      <c r="E99" s="312"/>
      <c r="F99" s="312"/>
      <c r="G99" s="312"/>
      <c r="H99" s="313"/>
      <c r="I99" s="317"/>
      <c r="J99" s="317"/>
      <c r="K99" s="313"/>
    </row>
    <row r="100" spans="1:11" ht="14.25" customHeight="1" x14ac:dyDescent="0.25">
      <c r="A100" s="313"/>
      <c r="B100" s="317"/>
      <c r="C100" s="313"/>
      <c r="E100" s="312"/>
      <c r="F100" s="312"/>
      <c r="G100" s="312"/>
      <c r="H100" s="313"/>
      <c r="I100" s="317"/>
      <c r="J100" s="317"/>
      <c r="K100" s="313"/>
    </row>
    <row r="101" spans="1:11" ht="14.25" customHeight="1" x14ac:dyDescent="0.25">
      <c r="A101" s="313"/>
      <c r="B101" s="317"/>
      <c r="C101" s="313"/>
      <c r="E101" s="312"/>
      <c r="F101" s="312"/>
      <c r="G101" s="312"/>
      <c r="H101" s="313"/>
      <c r="I101" s="317"/>
      <c r="J101" s="317"/>
      <c r="K101" s="313"/>
    </row>
    <row r="102" spans="1:11" x14ac:dyDescent="0.2">
      <c r="A102" s="313"/>
      <c r="C102" s="313"/>
      <c r="H102" s="313"/>
      <c r="I102" s="313"/>
      <c r="J102" s="313"/>
      <c r="K102" s="313"/>
    </row>
    <row r="103" spans="1:11" x14ac:dyDescent="0.2">
      <c r="A103" s="313"/>
      <c r="C103" s="313"/>
      <c r="H103" s="313"/>
      <c r="I103" s="313"/>
      <c r="J103" s="313"/>
      <c r="K103" s="313"/>
    </row>
    <row r="104" spans="1:11" x14ac:dyDescent="0.2">
      <c r="A104" s="313"/>
      <c r="C104" s="313"/>
      <c r="H104" s="313"/>
      <c r="I104" s="313"/>
      <c r="J104" s="313"/>
      <c r="K104" s="313"/>
    </row>
  </sheetData>
  <mergeCells count="18">
    <mergeCell ref="G1:N1"/>
    <mergeCell ref="B1:F1"/>
    <mergeCell ref="B27:D27"/>
    <mergeCell ref="B40:D40"/>
    <mergeCell ref="B76:D76"/>
    <mergeCell ref="C95:G95"/>
    <mergeCell ref="C96:G96"/>
    <mergeCell ref="C97:G97"/>
    <mergeCell ref="C98:G98"/>
    <mergeCell ref="A4:A7"/>
    <mergeCell ref="B17:D17"/>
    <mergeCell ref="B18:D18"/>
    <mergeCell ref="B21:D21"/>
    <mergeCell ref="B22:D22"/>
    <mergeCell ref="C92:G92"/>
    <mergeCell ref="C93:G93"/>
    <mergeCell ref="C94:G94"/>
    <mergeCell ref="B88:D88"/>
  </mergeCells>
  <pageMargins left="0.70866141732283472" right="0.70866141732283472" top="0.74803149606299213" bottom="0.74803149606299213" header="0.31496062992125984" footer="0.31496062992125984"/>
  <pageSetup paperSize="9" scale="55" fitToWidth="50" fitToHeight="50" orientation="landscape" r:id="rId1"/>
  <rowBreaks count="1" manualBreakCount="1"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2:Q113"/>
  <sheetViews>
    <sheetView zoomScaleNormal="100" workbookViewId="0">
      <pane ySplit="4" topLeftCell="A89" activePane="bottomLeft" state="frozen"/>
      <selection pane="bottomLeft" activeCell="C56" sqref="C56"/>
    </sheetView>
  </sheetViews>
  <sheetFormatPr baseColWidth="10" defaultRowHeight="14.25" x14ac:dyDescent="0.2"/>
  <cols>
    <col min="1" max="1" width="19.5703125" style="16" customWidth="1"/>
    <col min="2" max="2" width="5" style="25" customWidth="1"/>
    <col min="3" max="3" width="9" style="25" customWidth="1"/>
    <col min="4" max="4" width="14.85546875" style="26" customWidth="1"/>
    <col min="5" max="5" width="16.85546875" style="26" customWidth="1"/>
    <col min="6" max="6" width="18.85546875" style="16" customWidth="1"/>
    <col min="7" max="7" width="10.85546875" style="16" hidden="1" customWidth="1"/>
    <col min="8" max="8" width="9.7109375" style="25" hidden="1" customWidth="1"/>
    <col min="9" max="9" width="8.85546875" style="16" hidden="1" customWidth="1"/>
    <col min="10" max="10" width="2" style="16" hidden="1" customWidth="1"/>
    <col min="11" max="11" width="16.28515625" style="16" hidden="1" customWidth="1"/>
    <col min="12" max="12" width="3.7109375" style="16" hidden="1" customWidth="1"/>
    <col min="13" max="13" width="14.140625" style="16" customWidth="1"/>
    <col min="14" max="14" width="12.5703125" style="16" customWidth="1"/>
    <col min="15" max="15" width="17.28515625" style="16" customWidth="1"/>
    <col min="16" max="17" width="12.5703125" style="16" customWidth="1"/>
    <col min="18" max="18" width="4" style="16" customWidth="1"/>
    <col min="19" max="23" width="11.42578125" style="16"/>
    <col min="24" max="24" width="11" style="16" customWidth="1"/>
    <col min="25" max="16384" width="11.42578125" style="16"/>
  </cols>
  <sheetData>
    <row r="2" spans="1:17" ht="16.5" customHeight="1" x14ac:dyDescent="0.2">
      <c r="A2" s="369" t="s">
        <v>152</v>
      </c>
      <c r="B2" s="370"/>
      <c r="C2" s="370"/>
      <c r="D2" s="370"/>
      <c r="E2" s="370"/>
      <c r="F2" s="370"/>
      <c r="G2" s="371"/>
      <c r="H2" s="367">
        <f ca="1">TODAY()</f>
        <v>43780</v>
      </c>
      <c r="I2" s="368"/>
      <c r="J2" s="21"/>
      <c r="K2" s="109">
        <f ca="1">TODAY()</f>
        <v>43780</v>
      </c>
    </row>
    <row r="3" spans="1:17" ht="16.5" customHeight="1" x14ac:dyDescent="0.2">
      <c r="A3" s="364" t="s">
        <v>2</v>
      </c>
      <c r="B3" s="364" t="s">
        <v>1</v>
      </c>
      <c r="C3" s="362" t="s">
        <v>89</v>
      </c>
      <c r="D3" s="372" t="s">
        <v>3</v>
      </c>
      <c r="E3" s="372" t="s">
        <v>93</v>
      </c>
      <c r="F3" s="362" t="s">
        <v>78</v>
      </c>
      <c r="G3" s="362" t="s">
        <v>102</v>
      </c>
      <c r="H3" s="362"/>
      <c r="I3" s="362"/>
      <c r="J3" s="362" t="s">
        <v>169</v>
      </c>
      <c r="K3" s="362"/>
      <c r="L3" s="362"/>
      <c r="M3" s="362" t="s">
        <v>90</v>
      </c>
      <c r="N3" s="22"/>
      <c r="O3" s="22"/>
      <c r="P3" s="22"/>
      <c r="Q3" s="22"/>
    </row>
    <row r="4" spans="1:17" s="23" customFormat="1" ht="60" customHeight="1" x14ac:dyDescent="0.25">
      <c r="A4" s="364"/>
      <c r="B4" s="364"/>
      <c r="C4" s="362"/>
      <c r="D4" s="372"/>
      <c r="E4" s="372"/>
      <c r="F4" s="362"/>
      <c r="G4" s="27" t="s">
        <v>103</v>
      </c>
      <c r="H4" s="27" t="s">
        <v>104</v>
      </c>
      <c r="I4" s="27" t="s">
        <v>105</v>
      </c>
      <c r="J4" s="27" t="s">
        <v>103</v>
      </c>
      <c r="K4" s="27" t="s">
        <v>104</v>
      </c>
      <c r="L4" s="27" t="s">
        <v>105</v>
      </c>
      <c r="M4" s="362"/>
      <c r="N4" s="22"/>
      <c r="O4" s="22"/>
      <c r="P4" s="22"/>
      <c r="Q4" s="22"/>
    </row>
    <row r="5" spans="1:17" ht="15.75" customHeight="1" x14ac:dyDescent="0.25">
      <c r="A5" s="28"/>
      <c r="B5" s="28"/>
      <c r="C5" s="28"/>
      <c r="D5" s="28"/>
      <c r="E5" s="28"/>
      <c r="F5" s="28"/>
      <c r="G5" s="28"/>
      <c r="H5" s="29"/>
      <c r="I5" s="28"/>
      <c r="J5" s="28"/>
      <c r="K5" s="28"/>
      <c r="L5" s="28"/>
      <c r="M5" s="28"/>
      <c r="N5" s="24"/>
      <c r="O5" s="24"/>
      <c r="P5" s="24"/>
      <c r="Q5" s="24"/>
    </row>
    <row r="6" spans="1:17" x14ac:dyDescent="0.2">
      <c r="A6" s="363" t="s">
        <v>5</v>
      </c>
      <c r="B6" s="363"/>
      <c r="C6" s="363"/>
      <c r="D6" s="363"/>
      <c r="E6" s="363"/>
      <c r="F6" s="363"/>
      <c r="G6" s="30"/>
      <c r="H6" s="30"/>
      <c r="I6" s="30"/>
      <c r="J6" s="30"/>
      <c r="K6" s="30"/>
      <c r="L6" s="30"/>
      <c r="M6" s="31"/>
      <c r="N6" s="18"/>
      <c r="O6" s="18"/>
      <c r="P6" s="18"/>
      <c r="Q6" s="18"/>
    </row>
    <row r="7" spans="1:17" ht="28.5" x14ac:dyDescent="0.2">
      <c r="A7" s="32" t="s">
        <v>160</v>
      </c>
      <c r="B7" s="33">
        <v>3</v>
      </c>
      <c r="C7" s="33">
        <v>3</v>
      </c>
      <c r="D7" s="34">
        <v>4426296</v>
      </c>
      <c r="E7" s="34">
        <f>13278889</f>
        <v>13278889</v>
      </c>
      <c r="F7" s="35">
        <f>C7*D7</f>
        <v>13278888</v>
      </c>
      <c r="G7" s="36">
        <v>0</v>
      </c>
      <c r="H7" s="35"/>
      <c r="I7" s="35"/>
      <c r="J7" s="36">
        <v>0</v>
      </c>
      <c r="K7" s="35"/>
      <c r="L7" s="35">
        <v>13278888</v>
      </c>
      <c r="M7" s="37">
        <f>F7/E7</f>
        <v>0.99999992469249499</v>
      </c>
      <c r="N7" s="13"/>
      <c r="O7" s="13"/>
      <c r="P7" s="13"/>
      <c r="Q7" s="13"/>
    </row>
    <row r="8" spans="1:17" ht="25.5" customHeight="1" x14ac:dyDescent="0.2">
      <c r="A8" s="32" t="s">
        <v>161</v>
      </c>
      <c r="B8" s="33">
        <v>3</v>
      </c>
      <c r="C8" s="33">
        <v>3</v>
      </c>
      <c r="D8" s="34">
        <v>5305574</v>
      </c>
      <c r="E8" s="34">
        <v>15916722</v>
      </c>
      <c r="F8" s="35">
        <f>C8*D8</f>
        <v>15916722</v>
      </c>
      <c r="G8" s="36">
        <v>0</v>
      </c>
      <c r="H8" s="35"/>
      <c r="I8" s="35"/>
      <c r="J8" s="36">
        <v>0</v>
      </c>
      <c r="K8" s="35"/>
      <c r="L8" s="35"/>
      <c r="M8" s="37">
        <f>F8/E8</f>
        <v>1</v>
      </c>
      <c r="N8" s="13"/>
      <c r="O8" s="13"/>
      <c r="P8" s="13"/>
      <c r="Q8" s="13"/>
    </row>
    <row r="9" spans="1:17" ht="32.25" customHeight="1" x14ac:dyDescent="0.2">
      <c r="A9" s="32" t="s">
        <v>7</v>
      </c>
      <c r="B9" s="33">
        <v>3</v>
      </c>
      <c r="C9" s="33">
        <v>3</v>
      </c>
      <c r="D9" s="34">
        <v>7500778</v>
      </c>
      <c r="E9" s="34">
        <v>22502333</v>
      </c>
      <c r="F9" s="35">
        <f>C9*D9</f>
        <v>22502334</v>
      </c>
      <c r="G9" s="36">
        <v>0</v>
      </c>
      <c r="H9" s="35"/>
      <c r="I9" s="35"/>
      <c r="J9" s="36">
        <v>0</v>
      </c>
      <c r="K9" s="35"/>
      <c r="L9" s="35">
        <v>22502333</v>
      </c>
      <c r="M9" s="37">
        <f>F9/E9</f>
        <v>1.0000000444398365</v>
      </c>
      <c r="N9" s="13"/>
      <c r="O9" s="13"/>
      <c r="P9" s="13"/>
      <c r="Q9" s="13"/>
    </row>
    <row r="10" spans="1:17" x14ac:dyDescent="0.2">
      <c r="A10" s="38" t="s">
        <v>8</v>
      </c>
      <c r="B10" s="33"/>
      <c r="C10" s="33"/>
      <c r="D10" s="34"/>
      <c r="E10" s="39">
        <f>SUM(E7:E9)</f>
        <v>51697944</v>
      </c>
      <c r="F10" s="40">
        <f>SUM(F7:F9)</f>
        <v>51697944</v>
      </c>
      <c r="G10" s="40"/>
      <c r="H10" s="40"/>
      <c r="I10" s="40"/>
      <c r="J10" s="40"/>
      <c r="K10" s="40"/>
      <c r="L10" s="40">
        <f>SUM(L7:L9)</f>
        <v>35781221</v>
      </c>
      <c r="M10" s="41">
        <f>F10/E10</f>
        <v>1</v>
      </c>
      <c r="N10" s="17"/>
      <c r="O10" s="17"/>
      <c r="P10" s="17"/>
      <c r="Q10" s="17"/>
    </row>
    <row r="11" spans="1:17" x14ac:dyDescent="0.2">
      <c r="A11" s="31"/>
      <c r="B11" s="33"/>
      <c r="C11" s="33"/>
      <c r="D11" s="34"/>
      <c r="E11" s="34"/>
      <c r="F11" s="31"/>
      <c r="G11" s="31"/>
      <c r="H11" s="33"/>
      <c r="I11" s="31"/>
      <c r="J11" s="31"/>
      <c r="K11" s="31"/>
      <c r="L11" s="31"/>
      <c r="M11" s="31"/>
      <c r="N11" s="18"/>
      <c r="O11" s="18"/>
      <c r="P11" s="18"/>
      <c r="Q11" s="18"/>
    </row>
    <row r="12" spans="1:17" x14ac:dyDescent="0.2">
      <c r="A12" s="38" t="s">
        <v>9</v>
      </c>
      <c r="B12" s="33"/>
      <c r="C12" s="33"/>
      <c r="D12" s="34"/>
      <c r="E12" s="34"/>
      <c r="F12" s="31"/>
      <c r="G12" s="31"/>
      <c r="H12" s="33"/>
      <c r="I12" s="31"/>
      <c r="J12" s="31"/>
      <c r="K12" s="31"/>
      <c r="L12" s="31"/>
      <c r="M12" s="31"/>
      <c r="N12" s="18"/>
      <c r="O12" s="18"/>
      <c r="P12" s="18"/>
      <c r="Q12" s="18"/>
    </row>
    <row r="13" spans="1:17" ht="15" x14ac:dyDescent="0.2">
      <c r="A13" s="31" t="s">
        <v>10</v>
      </c>
      <c r="B13" s="33">
        <v>1</v>
      </c>
      <c r="C13" s="129">
        <v>1</v>
      </c>
      <c r="D13" s="42">
        <v>17944444</v>
      </c>
      <c r="E13" s="34">
        <f>B13*D13</f>
        <v>17944444</v>
      </c>
      <c r="F13" s="35">
        <f>C13*D13</f>
        <v>17944444</v>
      </c>
      <c r="G13" s="36">
        <v>0</v>
      </c>
      <c r="H13" s="35"/>
      <c r="I13" s="35"/>
      <c r="J13" s="36">
        <v>0</v>
      </c>
      <c r="K13" s="35"/>
      <c r="L13" s="35"/>
      <c r="M13" s="37">
        <f t="shared" ref="M13:M20" si="0">F13/E13</f>
        <v>1</v>
      </c>
      <c r="N13" s="13"/>
      <c r="O13" s="13"/>
      <c r="P13" s="13"/>
      <c r="Q13" s="13"/>
    </row>
    <row r="14" spans="1:17" ht="15" x14ac:dyDescent="0.2">
      <c r="A14" s="31" t="s">
        <v>11</v>
      </c>
      <c r="B14" s="33">
        <v>1</v>
      </c>
      <c r="C14" s="129">
        <v>1</v>
      </c>
      <c r="D14" s="34">
        <v>2691667</v>
      </c>
      <c r="E14" s="34">
        <f t="shared" ref="E14:E19" si="1">B14*D14</f>
        <v>2691667</v>
      </c>
      <c r="F14" s="35">
        <f t="shared" ref="F14:F19" si="2">C14*D14</f>
        <v>2691667</v>
      </c>
      <c r="G14" s="36">
        <v>0</v>
      </c>
      <c r="H14" s="35"/>
      <c r="I14" s="35"/>
      <c r="J14" s="36">
        <v>0</v>
      </c>
      <c r="K14" s="35"/>
      <c r="L14" s="35"/>
      <c r="M14" s="37">
        <f t="shared" si="0"/>
        <v>1</v>
      </c>
      <c r="N14" s="13"/>
      <c r="O14" s="13"/>
      <c r="P14" s="13"/>
      <c r="Q14" s="13"/>
    </row>
    <row r="15" spans="1:17" ht="15" x14ac:dyDescent="0.2">
      <c r="A15" s="31" t="s">
        <v>12</v>
      </c>
      <c r="B15" s="33">
        <v>1</v>
      </c>
      <c r="C15" s="129">
        <v>1</v>
      </c>
      <c r="D15" s="34">
        <v>1940991</v>
      </c>
      <c r="E15" s="34">
        <f t="shared" si="1"/>
        <v>1940991</v>
      </c>
      <c r="F15" s="35">
        <f>C15*D15</f>
        <v>1940991</v>
      </c>
      <c r="G15" s="36">
        <v>0</v>
      </c>
      <c r="H15" s="35"/>
      <c r="I15" s="35"/>
      <c r="J15" s="36">
        <v>0</v>
      </c>
      <c r="K15" s="35"/>
      <c r="L15" s="35"/>
      <c r="M15" s="37">
        <f t="shared" si="0"/>
        <v>1</v>
      </c>
      <c r="N15" s="13"/>
      <c r="O15" s="13"/>
      <c r="P15" s="13"/>
      <c r="Q15" s="13"/>
    </row>
    <row r="16" spans="1:17" ht="15" x14ac:dyDescent="0.2">
      <c r="A16" s="31" t="s">
        <v>13</v>
      </c>
      <c r="B16" s="33">
        <v>1</v>
      </c>
      <c r="C16" s="231">
        <v>1</v>
      </c>
      <c r="D16" s="34">
        <v>1705320</v>
      </c>
      <c r="E16" s="34">
        <f t="shared" si="1"/>
        <v>1705320</v>
      </c>
      <c r="F16" s="35">
        <f t="shared" si="2"/>
        <v>1705320</v>
      </c>
      <c r="G16" s="36">
        <v>0</v>
      </c>
      <c r="H16" s="35"/>
      <c r="I16" s="35"/>
      <c r="J16" s="36">
        <v>0</v>
      </c>
      <c r="K16" s="35"/>
      <c r="L16" s="35"/>
      <c r="M16" s="37">
        <f t="shared" si="0"/>
        <v>1</v>
      </c>
      <c r="N16" s="13"/>
      <c r="O16" s="13"/>
      <c r="P16" s="13"/>
      <c r="Q16" s="13"/>
    </row>
    <row r="17" spans="1:17" ht="15" x14ac:dyDescent="0.2">
      <c r="A17" s="31" t="s">
        <v>14</v>
      </c>
      <c r="B17" s="33">
        <v>1</v>
      </c>
      <c r="C17" s="231">
        <v>1</v>
      </c>
      <c r="D17" s="34">
        <v>1046759</v>
      </c>
      <c r="E17" s="34">
        <f t="shared" si="1"/>
        <v>1046759</v>
      </c>
      <c r="F17" s="35">
        <f t="shared" si="2"/>
        <v>1046759</v>
      </c>
      <c r="G17" s="36">
        <v>0</v>
      </c>
      <c r="H17" s="35"/>
      <c r="I17" s="35"/>
      <c r="J17" s="36">
        <v>0</v>
      </c>
      <c r="K17" s="35"/>
      <c r="L17" s="35"/>
      <c r="M17" s="37">
        <f t="shared" si="0"/>
        <v>1</v>
      </c>
      <c r="N17" s="13"/>
      <c r="O17" s="13"/>
      <c r="P17" s="13"/>
      <c r="Q17" s="13"/>
    </row>
    <row r="18" spans="1:17" ht="15" x14ac:dyDescent="0.2">
      <c r="A18" s="31" t="s">
        <v>176</v>
      </c>
      <c r="B18" s="33">
        <v>3</v>
      </c>
      <c r="C18" s="33">
        <v>3</v>
      </c>
      <c r="D18" s="34">
        <v>2135389</v>
      </c>
      <c r="E18" s="34">
        <f t="shared" si="1"/>
        <v>6406167</v>
      </c>
      <c r="F18" s="35">
        <f t="shared" si="2"/>
        <v>6406167</v>
      </c>
      <c r="G18" s="36">
        <v>0</v>
      </c>
      <c r="H18" s="35"/>
      <c r="I18" s="35"/>
      <c r="J18" s="36">
        <v>0</v>
      </c>
      <c r="K18" s="35"/>
      <c r="L18" s="35">
        <v>6406167</v>
      </c>
      <c r="M18" s="37">
        <f t="shared" si="0"/>
        <v>1</v>
      </c>
      <c r="N18" s="13"/>
      <c r="O18" s="13"/>
      <c r="P18" s="13"/>
      <c r="Q18" s="13"/>
    </row>
    <row r="19" spans="1:17" ht="15" x14ac:dyDescent="0.2">
      <c r="A19" s="31" t="s">
        <v>15</v>
      </c>
      <c r="B19" s="33">
        <v>5</v>
      </c>
      <c r="C19" s="129">
        <v>5</v>
      </c>
      <c r="D19" s="34">
        <v>323000</v>
      </c>
      <c r="E19" s="34">
        <f t="shared" si="1"/>
        <v>1615000</v>
      </c>
      <c r="F19" s="35">
        <f t="shared" si="2"/>
        <v>1615000</v>
      </c>
      <c r="G19" s="36">
        <v>0</v>
      </c>
      <c r="H19" s="35"/>
      <c r="I19" s="35"/>
      <c r="J19" s="36">
        <v>0</v>
      </c>
      <c r="K19" s="35"/>
      <c r="L19" s="35"/>
      <c r="M19" s="37">
        <f t="shared" si="0"/>
        <v>1</v>
      </c>
      <c r="N19" s="13"/>
      <c r="O19" s="13"/>
      <c r="P19" s="13"/>
      <c r="Q19" s="13"/>
    </row>
    <row r="20" spans="1:17" x14ac:dyDescent="0.2">
      <c r="A20" s="363" t="s">
        <v>16</v>
      </c>
      <c r="B20" s="363"/>
      <c r="C20" s="363"/>
      <c r="D20" s="363"/>
      <c r="E20" s="39">
        <f>SUM(E13:E19)</f>
        <v>33350348</v>
      </c>
      <c r="F20" s="40">
        <f>SUM(F13:F19)</f>
        <v>33350348</v>
      </c>
      <c r="G20" s="40"/>
      <c r="H20" s="40"/>
      <c r="I20" s="40"/>
      <c r="J20" s="40"/>
      <c r="K20" s="40"/>
      <c r="L20" s="40">
        <f>SUM(L13:L19)</f>
        <v>6406167</v>
      </c>
      <c r="M20" s="41">
        <f t="shared" si="0"/>
        <v>1</v>
      </c>
      <c r="N20" s="17"/>
      <c r="O20" s="17"/>
      <c r="P20" s="17"/>
      <c r="Q20" s="17"/>
    </row>
    <row r="21" spans="1:17" x14ac:dyDescent="0.2">
      <c r="A21" s="363" t="s">
        <v>17</v>
      </c>
      <c r="B21" s="363"/>
      <c r="C21" s="363"/>
      <c r="D21" s="363"/>
      <c r="E21" s="363"/>
      <c r="F21" s="363"/>
      <c r="G21" s="30"/>
      <c r="H21" s="30"/>
      <c r="I21" s="30"/>
      <c r="J21" s="30"/>
      <c r="K21" s="30"/>
      <c r="L21" s="30"/>
      <c r="M21" s="31"/>
      <c r="N21" s="18"/>
      <c r="O21" s="18"/>
      <c r="P21" s="18"/>
      <c r="Q21" s="18"/>
    </row>
    <row r="22" spans="1:17" ht="23.25" customHeight="1" x14ac:dyDescent="0.2">
      <c r="A22" s="43" t="s">
        <v>190</v>
      </c>
      <c r="B22" s="33">
        <v>2</v>
      </c>
      <c r="C22" s="33">
        <v>2</v>
      </c>
      <c r="D22" s="34">
        <v>3887963</v>
      </c>
      <c r="E22" s="34">
        <f>B22*D22</f>
        <v>7775926</v>
      </c>
      <c r="F22" s="35">
        <f>C22*D22</f>
        <v>7775926</v>
      </c>
      <c r="G22" s="36">
        <v>0</v>
      </c>
      <c r="H22" s="35"/>
      <c r="I22" s="35"/>
      <c r="J22" s="36">
        <v>0</v>
      </c>
      <c r="K22" s="35"/>
      <c r="L22" s="35">
        <v>7775926</v>
      </c>
      <c r="M22" s="37">
        <f>F22/E22</f>
        <v>1</v>
      </c>
      <c r="N22" s="13"/>
      <c r="O22" s="13"/>
      <c r="P22" s="13"/>
      <c r="Q22" s="13"/>
    </row>
    <row r="23" spans="1:17" ht="43.5" customHeight="1" x14ac:dyDescent="0.2">
      <c r="A23" s="44" t="s">
        <v>94</v>
      </c>
      <c r="B23" s="33">
        <v>2</v>
      </c>
      <c r="C23" s="33">
        <v>2</v>
      </c>
      <c r="D23" s="34">
        <v>5383333</v>
      </c>
      <c r="E23" s="34">
        <v>10766667</v>
      </c>
      <c r="F23" s="35">
        <f>C23*D23</f>
        <v>10766666</v>
      </c>
      <c r="G23" s="36">
        <v>0</v>
      </c>
      <c r="H23" s="35">
        <v>2</v>
      </c>
      <c r="I23" s="35">
        <v>2</v>
      </c>
      <c r="J23" s="36">
        <v>0</v>
      </c>
      <c r="K23" s="35">
        <v>10766666</v>
      </c>
      <c r="L23" s="35"/>
      <c r="M23" s="37">
        <f>F23/E23</f>
        <v>0.99999990712074593</v>
      </c>
      <c r="N23" s="13"/>
      <c r="O23" s="13"/>
      <c r="P23" s="13"/>
      <c r="Q23" s="13"/>
    </row>
    <row r="24" spans="1:17" x14ac:dyDescent="0.2">
      <c r="A24" s="363" t="s">
        <v>19</v>
      </c>
      <c r="B24" s="363"/>
      <c r="C24" s="363"/>
      <c r="D24" s="363"/>
      <c r="E24" s="39">
        <f>SUM(E22:E23)</f>
        <v>18542593</v>
      </c>
      <c r="F24" s="40">
        <f>SUM(F22:F23)</f>
        <v>18542592</v>
      </c>
      <c r="G24" s="40"/>
      <c r="H24" s="40"/>
      <c r="I24" s="40"/>
      <c r="J24" s="40"/>
      <c r="K24" s="40">
        <v>10766666</v>
      </c>
      <c r="L24" s="40">
        <f>SUM(L22:L23)</f>
        <v>7775926</v>
      </c>
      <c r="M24" s="41">
        <f>F24/E24</f>
        <v>0.99999994607011</v>
      </c>
      <c r="N24" s="17"/>
      <c r="O24" s="17"/>
      <c r="P24" s="17"/>
      <c r="Q24" s="17"/>
    </row>
    <row r="25" spans="1:17" x14ac:dyDescent="0.2">
      <c r="A25" s="363" t="s">
        <v>20</v>
      </c>
      <c r="B25" s="363"/>
      <c r="C25" s="363"/>
      <c r="D25" s="363"/>
      <c r="E25" s="363"/>
      <c r="F25" s="363"/>
      <c r="G25" s="30"/>
      <c r="H25" s="30"/>
      <c r="I25" s="30"/>
      <c r="J25" s="30"/>
      <c r="K25" s="30"/>
      <c r="L25" s="30"/>
      <c r="M25" s="31"/>
      <c r="N25" s="18"/>
      <c r="O25" s="18"/>
      <c r="P25" s="18"/>
      <c r="Q25" s="18"/>
    </row>
    <row r="26" spans="1:17" ht="15" x14ac:dyDescent="0.2">
      <c r="A26" s="31" t="s">
        <v>21</v>
      </c>
      <c r="B26" s="33">
        <v>4</v>
      </c>
      <c r="C26" s="33">
        <v>4</v>
      </c>
      <c r="D26" s="34">
        <v>193800</v>
      </c>
      <c r="E26" s="34">
        <f>B26*D26</f>
        <v>775200</v>
      </c>
      <c r="F26" s="35">
        <f>C26*D26</f>
        <v>775200</v>
      </c>
      <c r="G26" s="36">
        <v>0</v>
      </c>
      <c r="H26" s="35"/>
      <c r="I26" s="35"/>
      <c r="J26" s="36">
        <v>0</v>
      </c>
      <c r="K26" s="35"/>
      <c r="L26" s="35"/>
      <c r="M26" s="37">
        <f>F26/E26</f>
        <v>1</v>
      </c>
      <c r="N26" s="13"/>
      <c r="O26" s="13"/>
      <c r="P26" s="13"/>
      <c r="Q26" s="13"/>
    </row>
    <row r="27" spans="1:17" ht="15" x14ac:dyDescent="0.2">
      <c r="A27" s="131" t="s">
        <v>22</v>
      </c>
      <c r="B27" s="33">
        <v>4</v>
      </c>
      <c r="C27" s="129">
        <v>4</v>
      </c>
      <c r="D27" s="34">
        <v>93311</v>
      </c>
      <c r="E27" s="34">
        <f>B27*D27</f>
        <v>373244</v>
      </c>
      <c r="F27" s="35">
        <f>C27*D27</f>
        <v>373244</v>
      </c>
      <c r="G27" s="36">
        <v>0</v>
      </c>
      <c r="H27" s="35"/>
      <c r="I27" s="35"/>
      <c r="J27" s="36">
        <v>0</v>
      </c>
      <c r="K27" s="35"/>
      <c r="L27" s="35"/>
      <c r="M27" s="37">
        <f>F27/E27</f>
        <v>1</v>
      </c>
      <c r="N27" s="13"/>
      <c r="O27" s="13"/>
      <c r="P27" s="13"/>
      <c r="Q27" s="13"/>
    </row>
    <row r="28" spans="1:17" ht="15" x14ac:dyDescent="0.2">
      <c r="A28" s="31" t="s">
        <v>23</v>
      </c>
      <c r="B28" s="33">
        <v>3</v>
      </c>
      <c r="C28" s="33">
        <v>3</v>
      </c>
      <c r="D28" s="34">
        <v>260194</v>
      </c>
      <c r="E28" s="34">
        <v>780583</v>
      </c>
      <c r="F28" s="35">
        <f>C28*D28</f>
        <v>780582</v>
      </c>
      <c r="G28" s="36">
        <v>0</v>
      </c>
      <c r="H28" s="35"/>
      <c r="I28" s="35"/>
      <c r="J28" s="36">
        <v>0</v>
      </c>
      <c r="K28" s="35"/>
      <c r="L28" s="35"/>
      <c r="M28" s="37">
        <f>F28/E28</f>
        <v>0.99999871890625336</v>
      </c>
      <c r="N28" s="13"/>
      <c r="O28" s="13"/>
      <c r="P28" s="13"/>
      <c r="Q28" s="13"/>
    </row>
    <row r="29" spans="1:17" ht="15" x14ac:dyDescent="0.2">
      <c r="A29" s="38" t="s">
        <v>24</v>
      </c>
      <c r="B29" s="33"/>
      <c r="C29" s="33"/>
      <c r="D29" s="34"/>
      <c r="E29" s="39">
        <f>SUM(E26:E28)</f>
        <v>1929027</v>
      </c>
      <c r="F29" s="35">
        <f>SUM(F26:F28)</f>
        <v>1929026</v>
      </c>
      <c r="G29" s="36">
        <v>0</v>
      </c>
      <c r="H29" s="35"/>
      <c r="I29" s="35"/>
      <c r="J29" s="36">
        <v>0</v>
      </c>
      <c r="K29" s="35"/>
      <c r="L29" s="35">
        <f ca="1">SUM(L26:L29)</f>
        <v>0</v>
      </c>
      <c r="M29" s="37">
        <f>F29/E29</f>
        <v>0.99999948160393815</v>
      </c>
      <c r="N29" s="13"/>
      <c r="O29" s="13"/>
      <c r="P29" s="13"/>
      <c r="Q29" s="13"/>
    </row>
    <row r="30" spans="1:17" x14ac:dyDescent="0.2">
      <c r="A30" s="363" t="s">
        <v>25</v>
      </c>
      <c r="B30" s="363"/>
      <c r="C30" s="363"/>
      <c r="D30" s="363"/>
      <c r="E30" s="39">
        <f>E10+E20+E24+E29</f>
        <v>105519912</v>
      </c>
      <c r="F30" s="40">
        <f>F10+F20+F24+F29</f>
        <v>105519910</v>
      </c>
      <c r="G30" s="40"/>
      <c r="H30" s="40"/>
      <c r="I30" s="40"/>
      <c r="J30" s="40"/>
      <c r="K30" s="40"/>
      <c r="L30" s="40"/>
      <c r="M30" s="41">
        <f>F30/E30</f>
        <v>0.99999998104623133</v>
      </c>
      <c r="N30" s="17"/>
      <c r="O30" s="17"/>
      <c r="P30" s="17"/>
      <c r="Q30" s="17"/>
    </row>
    <row r="31" spans="1:17" x14ac:dyDescent="0.2">
      <c r="A31" s="31"/>
      <c r="B31" s="33"/>
      <c r="C31" s="33"/>
      <c r="D31" s="34"/>
      <c r="E31" s="34"/>
      <c r="F31" s="31"/>
      <c r="G31" s="31"/>
      <c r="H31" s="33"/>
      <c r="I31" s="31"/>
      <c r="J31" s="31"/>
      <c r="K31" s="31"/>
      <c r="L31" s="31"/>
      <c r="M31" s="31"/>
      <c r="N31" s="18"/>
      <c r="O31" s="18"/>
      <c r="P31" s="18"/>
      <c r="Q31" s="18"/>
    </row>
    <row r="32" spans="1:17" x14ac:dyDescent="0.2">
      <c r="A32" s="366" t="s">
        <v>26</v>
      </c>
      <c r="B32" s="366"/>
      <c r="C32" s="366"/>
      <c r="D32" s="366"/>
      <c r="E32" s="366"/>
      <c r="F32" s="366"/>
      <c r="G32" s="30"/>
      <c r="H32" s="30"/>
      <c r="I32" s="30"/>
      <c r="J32" s="30"/>
      <c r="K32" s="30"/>
      <c r="L32" s="30"/>
      <c r="M32" s="31"/>
      <c r="N32" s="18"/>
      <c r="O32" s="18"/>
      <c r="P32" s="18"/>
      <c r="Q32" s="18"/>
    </row>
    <row r="33" spans="1:17" ht="15" x14ac:dyDescent="0.2">
      <c r="A33" s="31" t="s">
        <v>27</v>
      </c>
      <c r="B33" s="33">
        <v>1</v>
      </c>
      <c r="C33" s="33">
        <v>1</v>
      </c>
      <c r="D33" s="34">
        <v>1046759</v>
      </c>
      <c r="E33" s="34">
        <f>B33*D33</f>
        <v>1046759</v>
      </c>
      <c r="F33" s="35">
        <f t="shared" ref="F33:F41" si="3">C33*D33</f>
        <v>1046759</v>
      </c>
      <c r="G33" s="36">
        <v>0</v>
      </c>
      <c r="H33" s="35">
        <v>1</v>
      </c>
      <c r="I33" s="35">
        <v>1</v>
      </c>
      <c r="J33" s="36">
        <v>0</v>
      </c>
      <c r="K33" s="35">
        <v>1046759</v>
      </c>
      <c r="L33" s="35">
        <v>1046759</v>
      </c>
      <c r="M33" s="37">
        <f t="shared" ref="M33:M44" si="4">F33/E33</f>
        <v>1</v>
      </c>
      <c r="N33" s="13"/>
      <c r="O33" s="13"/>
      <c r="P33" s="13"/>
      <c r="Q33" s="13"/>
    </row>
    <row r="34" spans="1:17" ht="28.5" x14ac:dyDescent="0.2">
      <c r="A34" s="32" t="s">
        <v>174</v>
      </c>
      <c r="B34" s="33">
        <v>2</v>
      </c>
      <c r="C34" s="33">
        <v>2</v>
      </c>
      <c r="D34" s="34">
        <v>1943981</v>
      </c>
      <c r="E34" s="34">
        <v>3887963</v>
      </c>
      <c r="F34" s="35">
        <f t="shared" si="3"/>
        <v>3887962</v>
      </c>
      <c r="G34" s="36">
        <v>0</v>
      </c>
      <c r="H34" s="35"/>
      <c r="I34" s="35"/>
      <c r="J34" s="36">
        <v>0</v>
      </c>
      <c r="K34" s="35"/>
      <c r="L34" s="35"/>
      <c r="M34" s="37">
        <f t="shared" si="4"/>
        <v>0.9999997427959062</v>
      </c>
      <c r="N34" s="13"/>
      <c r="O34" s="13"/>
      <c r="P34" s="13"/>
      <c r="Q34" s="13"/>
    </row>
    <row r="35" spans="1:17" ht="28.5" x14ac:dyDescent="0.2">
      <c r="A35" s="32" t="s">
        <v>177</v>
      </c>
      <c r="B35" s="33">
        <v>8</v>
      </c>
      <c r="C35" s="33">
        <v>8</v>
      </c>
      <c r="D35" s="34">
        <v>265457</v>
      </c>
      <c r="E35" s="34">
        <v>2123659</v>
      </c>
      <c r="F35" s="35">
        <f t="shared" si="3"/>
        <v>2123656</v>
      </c>
      <c r="G35" s="36">
        <v>0</v>
      </c>
      <c r="H35" s="35"/>
      <c r="I35" s="35"/>
      <c r="J35" s="36">
        <v>0</v>
      </c>
      <c r="K35" s="35"/>
      <c r="L35" s="35">
        <v>2123656</v>
      </c>
      <c r="M35" s="37">
        <f t="shared" si="4"/>
        <v>0.99999858734382496</v>
      </c>
      <c r="N35" s="13"/>
      <c r="O35" s="13"/>
      <c r="P35" s="13"/>
      <c r="Q35" s="13"/>
    </row>
    <row r="36" spans="1:17" ht="15" x14ac:dyDescent="0.2">
      <c r="A36" s="31" t="s">
        <v>29</v>
      </c>
      <c r="B36" s="33">
        <v>3</v>
      </c>
      <c r="C36" s="33">
        <v>3</v>
      </c>
      <c r="D36" s="34">
        <v>1046759</v>
      </c>
      <c r="E36" s="34">
        <v>3140278</v>
      </c>
      <c r="F36" s="35">
        <f t="shared" si="3"/>
        <v>3140277</v>
      </c>
      <c r="G36" s="36">
        <v>0</v>
      </c>
      <c r="H36" s="35"/>
      <c r="I36" s="35"/>
      <c r="J36" s="36">
        <v>0</v>
      </c>
      <c r="K36" s="35"/>
      <c r="L36" s="35">
        <v>3140277</v>
      </c>
      <c r="M36" s="37">
        <f t="shared" si="4"/>
        <v>0.99999968155685581</v>
      </c>
      <c r="N36" s="13"/>
      <c r="O36" s="13"/>
      <c r="P36" s="13"/>
      <c r="Q36" s="13"/>
    </row>
    <row r="37" spans="1:17" ht="44.25" customHeight="1" x14ac:dyDescent="0.2">
      <c r="A37" s="32" t="s">
        <v>179</v>
      </c>
      <c r="B37" s="33">
        <v>1</v>
      </c>
      <c r="C37" s="33">
        <v>1</v>
      </c>
      <c r="D37" s="34">
        <v>2213148</v>
      </c>
      <c r="E37" s="34">
        <v>2213148</v>
      </c>
      <c r="F37" s="35">
        <f t="shared" si="3"/>
        <v>2213148</v>
      </c>
      <c r="G37" s="36">
        <v>0</v>
      </c>
      <c r="H37" s="35"/>
      <c r="I37" s="35"/>
      <c r="J37" s="36">
        <v>0</v>
      </c>
      <c r="K37" s="35"/>
      <c r="L37" s="35">
        <v>2213148</v>
      </c>
      <c r="M37" s="37">
        <f t="shared" si="4"/>
        <v>1</v>
      </c>
      <c r="N37" s="13"/>
      <c r="O37" s="13"/>
      <c r="P37" s="13"/>
      <c r="Q37" s="13"/>
    </row>
    <row r="38" spans="1:17" ht="57" x14ac:dyDescent="0.2">
      <c r="A38" s="32" t="s">
        <v>178</v>
      </c>
      <c r="B38" s="33">
        <v>1</v>
      </c>
      <c r="C38" s="33">
        <v>1</v>
      </c>
      <c r="D38" s="34">
        <v>2990741</v>
      </c>
      <c r="E38" s="34">
        <f t="shared" ref="E38:E43" si="5">B38*D38</f>
        <v>2990741</v>
      </c>
      <c r="F38" s="35">
        <f t="shared" si="3"/>
        <v>2990741</v>
      </c>
      <c r="G38" s="36">
        <v>0</v>
      </c>
      <c r="H38" s="35"/>
      <c r="I38" s="35"/>
      <c r="J38" s="36">
        <v>0</v>
      </c>
      <c r="K38" s="35"/>
      <c r="L38" s="35">
        <v>2990741</v>
      </c>
      <c r="M38" s="37">
        <f t="shared" si="4"/>
        <v>1</v>
      </c>
      <c r="N38" s="13"/>
      <c r="O38" s="13"/>
      <c r="P38" s="13"/>
      <c r="Q38" s="13"/>
    </row>
    <row r="39" spans="1:17" ht="28.5" x14ac:dyDescent="0.2">
      <c r="A39" s="32" t="s">
        <v>180</v>
      </c>
      <c r="B39" s="33">
        <v>1</v>
      </c>
      <c r="C39" s="33">
        <v>1</v>
      </c>
      <c r="D39" s="34">
        <v>2762963</v>
      </c>
      <c r="E39" s="34">
        <f t="shared" si="5"/>
        <v>2762963</v>
      </c>
      <c r="F39" s="35">
        <f t="shared" si="3"/>
        <v>2762963</v>
      </c>
      <c r="G39" s="36">
        <v>0</v>
      </c>
      <c r="H39" s="35"/>
      <c r="I39" s="35"/>
      <c r="J39" s="36">
        <v>0</v>
      </c>
      <c r="K39" s="35"/>
      <c r="L39" s="35">
        <v>2762963</v>
      </c>
      <c r="M39" s="37">
        <f t="shared" si="4"/>
        <v>1</v>
      </c>
      <c r="N39" s="13"/>
      <c r="O39" s="13"/>
      <c r="P39" s="13"/>
      <c r="Q39" s="13"/>
    </row>
    <row r="40" spans="1:17" ht="42.75" x14ac:dyDescent="0.2">
      <c r="A40" s="32" t="s">
        <v>33</v>
      </c>
      <c r="B40" s="33">
        <v>1</v>
      </c>
      <c r="C40" s="33">
        <v>1</v>
      </c>
      <c r="D40" s="34">
        <v>2063611</v>
      </c>
      <c r="E40" s="34">
        <f t="shared" si="5"/>
        <v>2063611</v>
      </c>
      <c r="F40" s="35">
        <f t="shared" si="3"/>
        <v>2063611</v>
      </c>
      <c r="G40" s="36">
        <v>0</v>
      </c>
      <c r="H40" s="35"/>
      <c r="I40" s="35"/>
      <c r="J40" s="36">
        <v>0</v>
      </c>
      <c r="K40" s="35"/>
      <c r="L40" s="35"/>
      <c r="M40" s="37">
        <f t="shared" si="4"/>
        <v>1</v>
      </c>
      <c r="N40" s="13"/>
      <c r="O40" s="13"/>
      <c r="P40" s="13"/>
      <c r="Q40" s="13"/>
    </row>
    <row r="41" spans="1:17" ht="15" x14ac:dyDescent="0.2">
      <c r="A41" s="31" t="s">
        <v>34</v>
      </c>
      <c r="B41" s="33">
        <v>2</v>
      </c>
      <c r="C41" s="33">
        <v>2</v>
      </c>
      <c r="D41" s="34">
        <v>1088630</v>
      </c>
      <c r="E41" s="34">
        <v>2177259</v>
      </c>
      <c r="F41" s="35">
        <f t="shared" si="3"/>
        <v>2177260</v>
      </c>
      <c r="G41" s="36">
        <v>0</v>
      </c>
      <c r="H41" s="35"/>
      <c r="I41" s="35"/>
      <c r="J41" s="36">
        <v>0</v>
      </c>
      <c r="K41" s="35"/>
      <c r="L41" s="35"/>
      <c r="M41" s="37">
        <f t="shared" si="4"/>
        <v>1.0000004592930836</v>
      </c>
      <c r="N41" s="13"/>
      <c r="O41" s="13"/>
      <c r="P41" s="13"/>
      <c r="Q41" s="13"/>
    </row>
    <row r="42" spans="1:17" ht="15" x14ac:dyDescent="0.2">
      <c r="A42" s="31" t="s">
        <v>35</v>
      </c>
      <c r="B42" s="33">
        <v>2</v>
      </c>
      <c r="C42" s="33">
        <v>2</v>
      </c>
      <c r="D42" s="34">
        <v>508426</v>
      </c>
      <c r="E42" s="34">
        <f t="shared" si="5"/>
        <v>1016852</v>
      </c>
      <c r="F42" s="35">
        <f>C42*D42</f>
        <v>1016852</v>
      </c>
      <c r="G42" s="36">
        <v>0</v>
      </c>
      <c r="H42" s="35">
        <v>2</v>
      </c>
      <c r="I42" s="35">
        <v>2</v>
      </c>
      <c r="J42" s="36">
        <v>0</v>
      </c>
      <c r="K42" s="35">
        <v>1016852</v>
      </c>
      <c r="L42" s="35"/>
      <c r="M42" s="37">
        <f t="shared" si="4"/>
        <v>1</v>
      </c>
      <c r="N42" s="13"/>
      <c r="O42" s="13"/>
      <c r="P42" s="13"/>
      <c r="Q42" s="13"/>
    </row>
    <row r="43" spans="1:17" ht="15" x14ac:dyDescent="0.2">
      <c r="A43" s="31" t="s">
        <v>36</v>
      </c>
      <c r="B43" s="33">
        <v>2</v>
      </c>
      <c r="C43" s="33">
        <v>2</v>
      </c>
      <c r="D43" s="34">
        <v>2930926</v>
      </c>
      <c r="E43" s="34">
        <f t="shared" si="5"/>
        <v>5861852</v>
      </c>
      <c r="F43" s="35">
        <f>C43*D43</f>
        <v>5861852</v>
      </c>
      <c r="G43" s="36">
        <v>0</v>
      </c>
      <c r="H43" s="35">
        <v>2</v>
      </c>
      <c r="I43" s="35">
        <v>2</v>
      </c>
      <c r="J43" s="36">
        <v>0</v>
      </c>
      <c r="K43" s="35">
        <v>5861852</v>
      </c>
      <c r="L43" s="35"/>
      <c r="M43" s="37">
        <f t="shared" si="4"/>
        <v>1</v>
      </c>
      <c r="N43" s="13"/>
      <c r="O43" s="13"/>
      <c r="P43" s="13"/>
      <c r="Q43" s="13"/>
    </row>
    <row r="44" spans="1:17" x14ac:dyDescent="0.2">
      <c r="A44" s="363" t="s">
        <v>37</v>
      </c>
      <c r="B44" s="363"/>
      <c r="C44" s="363"/>
      <c r="D44" s="363"/>
      <c r="E44" s="39">
        <f>SUM(E33:E43)</f>
        <v>29285085</v>
      </c>
      <c r="F44" s="40">
        <f>SUM(F33:F43)</f>
        <v>29285081</v>
      </c>
      <c r="G44" s="40"/>
      <c r="H44" s="40"/>
      <c r="I44" s="40"/>
      <c r="J44" s="40"/>
      <c r="K44" s="40">
        <v>7925463</v>
      </c>
      <c r="L44" s="40">
        <f>SUM(L33:L43)</f>
        <v>14277544</v>
      </c>
      <c r="M44" s="41">
        <f t="shared" si="4"/>
        <v>0.99999986341169911</v>
      </c>
      <c r="N44" s="17"/>
      <c r="O44" s="17"/>
      <c r="P44" s="17"/>
      <c r="Q44" s="17"/>
    </row>
    <row r="45" spans="1:17" x14ac:dyDescent="0.2">
      <c r="A45" s="31"/>
      <c r="B45" s="33"/>
      <c r="C45" s="33"/>
      <c r="D45" s="34"/>
      <c r="E45" s="34"/>
      <c r="F45" s="31"/>
      <c r="G45" s="31"/>
      <c r="H45" s="33"/>
      <c r="I45" s="31"/>
      <c r="J45" s="31"/>
      <c r="K45" s="31"/>
      <c r="L45" s="31"/>
      <c r="M45" s="31"/>
      <c r="N45" s="18"/>
      <c r="O45" s="18"/>
      <c r="P45" s="18"/>
      <c r="Q45" s="18"/>
    </row>
    <row r="46" spans="1:17" x14ac:dyDescent="0.2">
      <c r="A46" s="366" t="s">
        <v>38</v>
      </c>
      <c r="B46" s="366"/>
      <c r="C46" s="366"/>
      <c r="D46" s="366"/>
      <c r="E46" s="366"/>
      <c r="F46" s="366"/>
      <c r="G46" s="30"/>
      <c r="H46" s="30"/>
      <c r="I46" s="30"/>
      <c r="J46" s="30"/>
      <c r="K46" s="30"/>
      <c r="L46" s="30"/>
      <c r="M46" s="31"/>
      <c r="N46" s="18"/>
      <c r="O46" s="18"/>
      <c r="P46" s="18"/>
      <c r="Q46" s="18"/>
    </row>
    <row r="47" spans="1:17" x14ac:dyDescent="0.2">
      <c r="A47" s="31" t="s">
        <v>39</v>
      </c>
      <c r="B47" s="33"/>
      <c r="C47" s="33"/>
      <c r="D47" s="34"/>
      <c r="E47" s="34"/>
      <c r="F47" s="31"/>
      <c r="G47" s="31"/>
      <c r="H47" s="33"/>
      <c r="I47" s="31"/>
      <c r="J47" s="31"/>
      <c r="K47" s="31"/>
      <c r="L47" s="31"/>
      <c r="M47" s="31"/>
      <c r="N47" s="18"/>
      <c r="O47" s="18"/>
      <c r="P47" s="18"/>
      <c r="Q47" s="18"/>
    </row>
    <row r="48" spans="1:17" ht="15" x14ac:dyDescent="0.2">
      <c r="A48" s="31" t="s">
        <v>40</v>
      </c>
      <c r="B48" s="33">
        <v>1</v>
      </c>
      <c r="C48" s="33">
        <v>1</v>
      </c>
      <c r="D48" s="34">
        <v>1196296</v>
      </c>
      <c r="E48" s="34">
        <f>B48*D48</f>
        <v>1196296</v>
      </c>
      <c r="F48" s="35">
        <f>C48*D48</f>
        <v>1196296</v>
      </c>
      <c r="G48" s="36">
        <v>0</v>
      </c>
      <c r="H48" s="35">
        <v>1</v>
      </c>
      <c r="I48" s="35">
        <v>1</v>
      </c>
      <c r="J48" s="36">
        <v>0</v>
      </c>
      <c r="K48" s="35">
        <v>1196296</v>
      </c>
      <c r="L48" s="35"/>
      <c r="M48" s="37">
        <f>F48/E48</f>
        <v>1</v>
      </c>
      <c r="N48" s="13"/>
      <c r="O48" s="13"/>
      <c r="P48" s="13"/>
      <c r="Q48" s="13"/>
    </row>
    <row r="49" spans="1:17" ht="15" x14ac:dyDescent="0.2">
      <c r="A49" s="31" t="s">
        <v>41</v>
      </c>
      <c r="B49" s="33">
        <v>1</v>
      </c>
      <c r="C49" s="33">
        <v>1</v>
      </c>
      <c r="D49" s="34">
        <v>598148</v>
      </c>
      <c r="E49" s="34">
        <f>B49*D49</f>
        <v>598148</v>
      </c>
      <c r="F49" s="35">
        <f>C49*D49</f>
        <v>598148</v>
      </c>
      <c r="G49" s="36">
        <v>0</v>
      </c>
      <c r="H49" s="35">
        <v>1</v>
      </c>
      <c r="I49" s="35">
        <v>1</v>
      </c>
      <c r="J49" s="36">
        <v>0</v>
      </c>
      <c r="K49" s="35">
        <v>598148</v>
      </c>
      <c r="L49" s="35"/>
      <c r="M49" s="37">
        <f>F49/E49</f>
        <v>1</v>
      </c>
      <c r="N49" s="13"/>
      <c r="O49" s="13"/>
      <c r="P49" s="13"/>
      <c r="Q49" s="13"/>
    </row>
    <row r="50" spans="1:17" ht="15" x14ac:dyDescent="0.2">
      <c r="A50" s="31" t="s">
        <v>42</v>
      </c>
      <c r="B50" s="33">
        <v>1</v>
      </c>
      <c r="C50" s="33">
        <v>1</v>
      </c>
      <c r="D50" s="34">
        <v>598148</v>
      </c>
      <c r="E50" s="34">
        <f>B50*D50</f>
        <v>598148</v>
      </c>
      <c r="F50" s="35">
        <f>C50*D50</f>
        <v>598148</v>
      </c>
      <c r="G50" s="36">
        <v>0</v>
      </c>
      <c r="H50" s="35">
        <v>1</v>
      </c>
      <c r="I50" s="35">
        <v>1</v>
      </c>
      <c r="J50" s="36">
        <v>0</v>
      </c>
      <c r="K50" s="35">
        <v>598148</v>
      </c>
      <c r="L50" s="35"/>
      <c r="M50" s="37">
        <f>F50/E50</f>
        <v>1</v>
      </c>
      <c r="N50" s="13"/>
      <c r="O50" s="13"/>
      <c r="P50" s="13"/>
      <c r="Q50" s="13"/>
    </row>
    <row r="51" spans="1:17" x14ac:dyDescent="0.2">
      <c r="A51" s="363" t="s">
        <v>43</v>
      </c>
      <c r="B51" s="363"/>
      <c r="C51" s="363"/>
      <c r="D51" s="363"/>
      <c r="E51" s="39">
        <f>SUM(E48:E50)</f>
        <v>2392592</v>
      </c>
      <c r="F51" s="40">
        <f>SUM(F48:F50)</f>
        <v>2392592</v>
      </c>
      <c r="G51" s="40"/>
      <c r="H51" s="40"/>
      <c r="I51" s="40"/>
      <c r="J51" s="40"/>
      <c r="K51" s="40">
        <v>2392592</v>
      </c>
      <c r="L51" s="40">
        <f>SUM(L48:L50)</f>
        <v>0</v>
      </c>
      <c r="M51" s="41">
        <f>F51/E51</f>
        <v>1</v>
      </c>
      <c r="N51" s="17"/>
      <c r="O51" s="17"/>
      <c r="P51" s="17"/>
      <c r="Q51" s="17"/>
    </row>
    <row r="52" spans="1:17" x14ac:dyDescent="0.2">
      <c r="A52" s="38" t="s">
        <v>44</v>
      </c>
      <c r="B52" s="33"/>
      <c r="C52" s="33"/>
      <c r="D52" s="34"/>
      <c r="E52" s="34"/>
      <c r="F52" s="31"/>
      <c r="G52" s="31"/>
      <c r="H52" s="33"/>
      <c r="I52" s="31"/>
      <c r="J52" s="31"/>
      <c r="K52" s="31"/>
      <c r="L52" s="31"/>
      <c r="M52" s="31"/>
      <c r="N52" s="18"/>
      <c r="O52" s="18"/>
      <c r="P52" s="18"/>
      <c r="Q52" s="18"/>
    </row>
    <row r="53" spans="1:17" x14ac:dyDescent="0.2">
      <c r="A53" s="38" t="s">
        <v>92</v>
      </c>
      <c r="B53" s="33"/>
      <c r="C53" s="33"/>
      <c r="D53" s="34"/>
      <c r="E53" s="34"/>
      <c r="F53" s="31"/>
      <c r="G53" s="31"/>
      <c r="H53" s="33"/>
      <c r="I53" s="31"/>
      <c r="J53" s="31"/>
      <c r="K53" s="31"/>
      <c r="L53" s="31"/>
      <c r="M53" s="31"/>
      <c r="N53" s="18"/>
      <c r="O53" s="18"/>
      <c r="P53" s="18"/>
      <c r="Q53" s="18"/>
    </row>
    <row r="54" spans="1:17" ht="15" x14ac:dyDescent="0.2">
      <c r="A54" s="31" t="s">
        <v>45</v>
      </c>
      <c r="B54" s="33">
        <v>12</v>
      </c>
      <c r="C54" s="33">
        <v>12</v>
      </c>
      <c r="D54" s="34">
        <v>89722</v>
      </c>
      <c r="E54" s="34">
        <f>B54*D54</f>
        <v>1076664</v>
      </c>
      <c r="F54" s="35">
        <f>C54*D54</f>
        <v>1076664</v>
      </c>
      <c r="G54" s="36">
        <v>0</v>
      </c>
      <c r="H54" s="35"/>
      <c r="I54" s="35"/>
      <c r="J54" s="36">
        <v>0</v>
      </c>
      <c r="K54" s="35"/>
      <c r="L54" s="35"/>
      <c r="M54" s="37">
        <f t="shared" ref="M54:M59" si="6">F54/E54</f>
        <v>1</v>
      </c>
      <c r="N54" s="13"/>
      <c r="O54" s="13"/>
      <c r="P54" s="13"/>
      <c r="Q54" s="13"/>
    </row>
    <row r="55" spans="1:17" ht="15" x14ac:dyDescent="0.2">
      <c r="A55" s="131" t="s">
        <v>46</v>
      </c>
      <c r="B55" s="33">
        <v>3</v>
      </c>
      <c r="C55" s="33">
        <v>3</v>
      </c>
      <c r="D55" s="34">
        <v>119630</v>
      </c>
      <c r="E55" s="34">
        <f>B55*D55</f>
        <v>358890</v>
      </c>
      <c r="F55" s="35">
        <f>C55*D55</f>
        <v>358890</v>
      </c>
      <c r="G55" s="36">
        <v>0</v>
      </c>
      <c r="H55" s="35"/>
      <c r="I55" s="35"/>
      <c r="J55" s="36">
        <v>0</v>
      </c>
      <c r="K55" s="35"/>
      <c r="L55" s="35"/>
      <c r="M55" s="37">
        <f t="shared" si="6"/>
        <v>1</v>
      </c>
      <c r="N55" s="13"/>
      <c r="O55" s="13"/>
      <c r="P55" s="13"/>
      <c r="Q55" s="13"/>
    </row>
    <row r="56" spans="1:17" ht="15" x14ac:dyDescent="0.2">
      <c r="A56" s="31" t="s">
        <v>47</v>
      </c>
      <c r="B56" s="33">
        <v>2</v>
      </c>
      <c r="C56" s="33">
        <v>2</v>
      </c>
      <c r="D56" s="34">
        <v>193800</v>
      </c>
      <c r="E56" s="34">
        <f>B56*D56</f>
        <v>387600</v>
      </c>
      <c r="F56" s="35">
        <f>C56*D56</f>
        <v>387600</v>
      </c>
      <c r="G56" s="36">
        <v>0</v>
      </c>
      <c r="H56" s="35"/>
      <c r="I56" s="35"/>
      <c r="J56" s="36">
        <v>0</v>
      </c>
      <c r="K56" s="35">
        <v>387600</v>
      </c>
      <c r="L56" s="35"/>
      <c r="M56" s="37">
        <f t="shared" si="6"/>
        <v>1</v>
      </c>
      <c r="N56" s="13"/>
      <c r="O56" s="13"/>
      <c r="P56" s="13"/>
      <c r="Q56" s="13"/>
    </row>
    <row r="57" spans="1:17" ht="15" x14ac:dyDescent="0.2">
      <c r="A57" s="31" t="s">
        <v>48</v>
      </c>
      <c r="B57" s="33">
        <v>3</v>
      </c>
      <c r="C57" s="33">
        <v>3</v>
      </c>
      <c r="D57" s="34">
        <v>119630</v>
      </c>
      <c r="E57" s="34">
        <f>358889</f>
        <v>358889</v>
      </c>
      <c r="F57" s="35">
        <v>358889</v>
      </c>
      <c r="G57" s="36">
        <v>0</v>
      </c>
      <c r="H57" s="35">
        <v>3</v>
      </c>
      <c r="I57" s="35">
        <v>3</v>
      </c>
      <c r="J57" s="36">
        <v>0</v>
      </c>
      <c r="K57" s="35">
        <v>358890</v>
      </c>
      <c r="L57" s="35"/>
      <c r="M57" s="37">
        <f t="shared" si="6"/>
        <v>1</v>
      </c>
      <c r="N57" s="13"/>
      <c r="O57" s="13"/>
      <c r="P57" s="13"/>
      <c r="Q57" s="13"/>
    </row>
    <row r="58" spans="1:17" ht="15" x14ac:dyDescent="0.2">
      <c r="A58" s="31" t="s">
        <v>49</v>
      </c>
      <c r="B58" s="33">
        <v>2</v>
      </c>
      <c r="C58" s="33">
        <v>2</v>
      </c>
      <c r="D58" s="34">
        <v>209352</v>
      </c>
      <c r="E58" s="34">
        <f>B58*D58</f>
        <v>418704</v>
      </c>
      <c r="F58" s="35">
        <f>C58*D58</f>
        <v>418704</v>
      </c>
      <c r="G58" s="36">
        <v>0</v>
      </c>
      <c r="H58" s="35">
        <v>2</v>
      </c>
      <c r="I58" s="35">
        <v>2</v>
      </c>
      <c r="J58" s="36">
        <v>0</v>
      </c>
      <c r="K58" s="35">
        <v>418704</v>
      </c>
      <c r="L58" s="35"/>
      <c r="M58" s="37">
        <f t="shared" si="6"/>
        <v>1</v>
      </c>
      <c r="N58" s="13"/>
      <c r="O58" s="13"/>
      <c r="P58" s="13"/>
      <c r="Q58" s="13"/>
    </row>
    <row r="59" spans="1:17" x14ac:dyDescent="0.2">
      <c r="A59" s="363" t="s">
        <v>50</v>
      </c>
      <c r="B59" s="363"/>
      <c r="C59" s="363"/>
      <c r="D59" s="363"/>
      <c r="E59" s="39">
        <f>SUM(E54:E58)</f>
        <v>2600747</v>
      </c>
      <c r="F59" s="40">
        <f>SUM(F54:F58)</f>
        <v>2600747</v>
      </c>
      <c r="G59" s="40"/>
      <c r="H59" s="40"/>
      <c r="I59" s="40"/>
      <c r="J59" s="40"/>
      <c r="K59" s="40">
        <v>1165194</v>
      </c>
      <c r="L59" s="40">
        <f>L56+L57+L58+L55+L54</f>
        <v>0</v>
      </c>
      <c r="M59" s="41">
        <f t="shared" si="6"/>
        <v>1</v>
      </c>
      <c r="N59" s="17"/>
      <c r="O59" s="17"/>
      <c r="P59" s="17"/>
      <c r="Q59" s="17"/>
    </row>
    <row r="60" spans="1:17" x14ac:dyDescent="0.2">
      <c r="A60" s="38" t="s">
        <v>101</v>
      </c>
      <c r="B60" s="33"/>
      <c r="C60" s="33"/>
      <c r="D60" s="34"/>
      <c r="E60" s="34"/>
      <c r="F60" s="31"/>
      <c r="G60" s="31"/>
      <c r="H60" s="33"/>
      <c r="I60" s="31"/>
      <c r="J60" s="31"/>
      <c r="K60" s="31"/>
      <c r="L60" s="31"/>
      <c r="M60" s="31"/>
      <c r="N60" s="18"/>
      <c r="O60" s="18"/>
      <c r="P60" s="18"/>
      <c r="Q60" s="18"/>
    </row>
    <row r="61" spans="1:17" ht="28.5" x14ac:dyDescent="0.2">
      <c r="A61" s="32" t="s">
        <v>52</v>
      </c>
      <c r="B61" s="33">
        <v>2</v>
      </c>
      <c r="C61" s="33">
        <v>2</v>
      </c>
      <c r="D61" s="34">
        <v>412722</v>
      </c>
      <c r="E61" s="34">
        <f>B61*D61</f>
        <v>825444</v>
      </c>
      <c r="F61" s="35">
        <f>C61*D61</f>
        <v>825444</v>
      </c>
      <c r="G61" s="36">
        <v>0</v>
      </c>
      <c r="H61" s="35">
        <v>2</v>
      </c>
      <c r="I61" s="35">
        <v>2</v>
      </c>
      <c r="J61" s="36">
        <v>0</v>
      </c>
      <c r="K61" s="35">
        <v>825444</v>
      </c>
      <c r="L61" s="35"/>
      <c r="M61" s="37">
        <f t="shared" ref="M61:M66" si="7">F61/E61</f>
        <v>1</v>
      </c>
      <c r="N61" s="13"/>
      <c r="O61" s="13"/>
      <c r="P61" s="13"/>
      <c r="Q61" s="13"/>
    </row>
    <row r="62" spans="1:17" ht="28.5" x14ac:dyDescent="0.2">
      <c r="A62" s="32" t="s">
        <v>53</v>
      </c>
      <c r="B62" s="33">
        <v>1</v>
      </c>
      <c r="C62" s="33">
        <v>1</v>
      </c>
      <c r="D62" s="34">
        <v>583793</v>
      </c>
      <c r="E62" s="34">
        <f>B62*D62</f>
        <v>583793</v>
      </c>
      <c r="F62" s="35">
        <f>C62*D62</f>
        <v>583793</v>
      </c>
      <c r="G62" s="36">
        <v>0</v>
      </c>
      <c r="H62" s="35">
        <v>1</v>
      </c>
      <c r="I62" s="35">
        <v>1</v>
      </c>
      <c r="J62" s="36">
        <v>0</v>
      </c>
      <c r="K62" s="35">
        <v>583793</v>
      </c>
      <c r="L62" s="35"/>
      <c r="M62" s="37">
        <f t="shared" si="7"/>
        <v>1</v>
      </c>
      <c r="N62" s="13"/>
      <c r="O62" s="13"/>
      <c r="P62" s="13"/>
      <c r="Q62" s="13"/>
    </row>
    <row r="63" spans="1:17" ht="15" x14ac:dyDescent="0.2">
      <c r="A63" s="31" t="s">
        <v>54</v>
      </c>
      <c r="B63" s="33">
        <v>10</v>
      </c>
      <c r="C63" s="33">
        <v>10</v>
      </c>
      <c r="D63" s="34">
        <v>67083</v>
      </c>
      <c r="E63" s="34">
        <f>670833</f>
        <v>670833</v>
      </c>
      <c r="F63" s="35">
        <f>C63*D63</f>
        <v>670830</v>
      </c>
      <c r="G63" s="36">
        <v>0</v>
      </c>
      <c r="H63" s="35">
        <v>10</v>
      </c>
      <c r="I63" s="35">
        <v>10</v>
      </c>
      <c r="J63" s="36">
        <v>0</v>
      </c>
      <c r="K63" s="35">
        <v>670830</v>
      </c>
      <c r="L63" s="35"/>
      <c r="M63" s="37">
        <f t="shared" si="7"/>
        <v>0.99999552794808844</v>
      </c>
      <c r="N63" s="13"/>
      <c r="O63" s="13"/>
      <c r="P63" s="13"/>
      <c r="Q63" s="13"/>
    </row>
    <row r="64" spans="1:17" ht="15" x14ac:dyDescent="0.2">
      <c r="A64" s="31" t="s">
        <v>55</v>
      </c>
      <c r="B64" s="33">
        <v>8</v>
      </c>
      <c r="C64" s="33">
        <v>8</v>
      </c>
      <c r="D64" s="34">
        <v>78333</v>
      </c>
      <c r="E64" s="34">
        <v>626667</v>
      </c>
      <c r="F64" s="35">
        <f>C64*D64</f>
        <v>626664</v>
      </c>
      <c r="G64" s="36">
        <v>0</v>
      </c>
      <c r="H64" s="35">
        <v>8</v>
      </c>
      <c r="I64" s="35">
        <v>8</v>
      </c>
      <c r="J64" s="36">
        <v>0</v>
      </c>
      <c r="K64" s="35">
        <v>626664</v>
      </c>
      <c r="L64" s="35"/>
      <c r="M64" s="37">
        <f t="shared" si="7"/>
        <v>0.99999521276850389</v>
      </c>
      <c r="N64" s="13"/>
      <c r="O64" s="13"/>
      <c r="P64" s="13"/>
      <c r="Q64" s="13"/>
    </row>
    <row r="65" spans="1:17" ht="28.5" x14ac:dyDescent="0.2">
      <c r="A65" s="32" t="s">
        <v>56</v>
      </c>
      <c r="B65" s="33">
        <v>1</v>
      </c>
      <c r="C65" s="33">
        <v>1</v>
      </c>
      <c r="D65" s="34">
        <v>6447074</v>
      </c>
      <c r="E65" s="34">
        <f>C65*D65</f>
        <v>6447074</v>
      </c>
      <c r="F65" s="35">
        <f>C65*D65</f>
        <v>6447074</v>
      </c>
      <c r="G65" s="36">
        <v>0</v>
      </c>
      <c r="H65" s="35">
        <v>1</v>
      </c>
      <c r="I65" s="35">
        <v>1</v>
      </c>
      <c r="J65" s="36">
        <v>0</v>
      </c>
      <c r="K65" s="35">
        <v>6447074</v>
      </c>
      <c r="L65" s="35"/>
      <c r="M65" s="37">
        <f t="shared" si="7"/>
        <v>1</v>
      </c>
      <c r="N65" s="13"/>
      <c r="O65" s="13"/>
      <c r="P65" s="13"/>
      <c r="Q65" s="13"/>
    </row>
    <row r="66" spans="1:17" x14ac:dyDescent="0.2">
      <c r="A66" s="363" t="s">
        <v>57</v>
      </c>
      <c r="B66" s="363"/>
      <c r="C66" s="363"/>
      <c r="D66" s="363"/>
      <c r="E66" s="39">
        <f>SUM(E61:E65)</f>
        <v>9153811</v>
      </c>
      <c r="F66" s="40">
        <f>SUM(F61:F65)</f>
        <v>9153805</v>
      </c>
      <c r="G66" s="40"/>
      <c r="H66" s="40"/>
      <c r="I66" s="40"/>
      <c r="J66" s="40"/>
      <c r="K66" s="40">
        <v>9153811</v>
      </c>
      <c r="L66" s="40">
        <f>SUM(L61:L65)</f>
        <v>0</v>
      </c>
      <c r="M66" s="41">
        <f t="shared" si="7"/>
        <v>0.99999934453529793</v>
      </c>
      <c r="N66" s="17"/>
      <c r="O66" s="17"/>
      <c r="P66" s="17"/>
      <c r="Q66" s="17"/>
    </row>
    <row r="67" spans="1:17" x14ac:dyDescent="0.2">
      <c r="A67" s="38" t="s">
        <v>175</v>
      </c>
      <c r="B67" s="33"/>
      <c r="C67" s="33"/>
      <c r="D67" s="34"/>
      <c r="E67" s="34"/>
      <c r="F67" s="31"/>
      <c r="G67" s="31"/>
      <c r="H67" s="33"/>
      <c r="I67" s="31"/>
      <c r="J67" s="31"/>
      <c r="K67" s="31"/>
      <c r="L67" s="31"/>
      <c r="M67" s="31"/>
      <c r="N67" s="18"/>
      <c r="O67" s="18"/>
      <c r="P67" s="18"/>
      <c r="Q67" s="18"/>
    </row>
    <row r="68" spans="1:17" ht="15" x14ac:dyDescent="0.2">
      <c r="A68" s="31" t="s">
        <v>165</v>
      </c>
      <c r="B68" s="33">
        <v>16</v>
      </c>
      <c r="C68" s="33">
        <v>16</v>
      </c>
      <c r="D68" s="34">
        <v>74170</v>
      </c>
      <c r="E68" s="34">
        <v>1186726</v>
      </c>
      <c r="F68" s="35">
        <f>C68*D68</f>
        <v>1186720</v>
      </c>
      <c r="G68" s="36">
        <v>0</v>
      </c>
      <c r="H68" s="35"/>
      <c r="I68" s="35"/>
      <c r="J68" s="36">
        <v>0</v>
      </c>
      <c r="K68" s="35"/>
      <c r="L68" s="35"/>
      <c r="M68" s="37">
        <f>F68/E68</f>
        <v>0.99999494407302103</v>
      </c>
      <c r="N68" s="13"/>
      <c r="O68" s="13"/>
      <c r="P68" s="13"/>
      <c r="Q68" s="13"/>
    </row>
    <row r="69" spans="1:17" ht="15" x14ac:dyDescent="0.2">
      <c r="A69" s="31" t="s">
        <v>58</v>
      </c>
      <c r="B69" s="33">
        <v>6</v>
      </c>
      <c r="C69" s="33">
        <v>6</v>
      </c>
      <c r="D69" s="34">
        <v>227296</v>
      </c>
      <c r="E69" s="34">
        <v>1363778</v>
      </c>
      <c r="F69" s="35">
        <f>C69*D69</f>
        <v>1363776</v>
      </c>
      <c r="G69" s="36">
        <v>0</v>
      </c>
      <c r="H69" s="35"/>
      <c r="I69" s="35"/>
      <c r="J69" s="36">
        <v>0</v>
      </c>
      <c r="K69" s="35"/>
      <c r="L69" s="35"/>
      <c r="M69" s="37">
        <f>F69/E69</f>
        <v>0.99999853348565526</v>
      </c>
      <c r="N69" s="13"/>
      <c r="O69" s="13"/>
      <c r="P69" s="13"/>
      <c r="Q69" s="13"/>
    </row>
    <row r="70" spans="1:17" x14ac:dyDescent="0.2">
      <c r="A70" s="38" t="s">
        <v>59</v>
      </c>
      <c r="B70" s="33"/>
      <c r="C70" s="33"/>
      <c r="D70" s="34"/>
      <c r="E70" s="39">
        <f>SUM(E68:E69)</f>
        <v>2550504</v>
      </c>
      <c r="F70" s="40">
        <f>SUM(F68:F69)</f>
        <v>2550496</v>
      </c>
      <c r="G70" s="40"/>
      <c r="H70" s="40"/>
      <c r="I70" s="40"/>
      <c r="J70" s="40"/>
      <c r="K70" s="40"/>
      <c r="L70" s="40">
        <f>SUM(L68:L69)</f>
        <v>0</v>
      </c>
      <c r="M70" s="41">
        <f>F70/E70</f>
        <v>0.99999686336504467</v>
      </c>
      <c r="N70" s="17"/>
      <c r="O70" s="17"/>
      <c r="P70" s="17"/>
      <c r="Q70" s="17"/>
    </row>
    <row r="71" spans="1:17" x14ac:dyDescent="0.2">
      <c r="A71" s="38" t="s">
        <v>60</v>
      </c>
      <c r="B71" s="33"/>
      <c r="C71" s="33"/>
      <c r="D71" s="34"/>
      <c r="E71" s="34"/>
      <c r="F71" s="31"/>
      <c r="G71" s="31"/>
      <c r="H71" s="33"/>
      <c r="I71" s="31"/>
      <c r="J71" s="31"/>
      <c r="K71" s="31"/>
      <c r="L71" s="31"/>
      <c r="M71" s="31"/>
      <c r="N71" s="18"/>
      <c r="O71" s="18"/>
      <c r="P71" s="18"/>
      <c r="Q71" s="18"/>
    </row>
    <row r="72" spans="1:17" ht="15" x14ac:dyDescent="0.2">
      <c r="A72" s="31" t="s">
        <v>166</v>
      </c>
      <c r="B72" s="33">
        <v>6</v>
      </c>
      <c r="C72" s="33">
        <v>6</v>
      </c>
      <c r="D72" s="34">
        <v>133656</v>
      </c>
      <c r="E72" s="34">
        <v>801937</v>
      </c>
      <c r="F72" s="35">
        <v>801937</v>
      </c>
      <c r="G72" s="36">
        <v>0</v>
      </c>
      <c r="H72" s="35">
        <v>6</v>
      </c>
      <c r="I72" s="35">
        <v>6</v>
      </c>
      <c r="J72" s="36">
        <v>0</v>
      </c>
      <c r="K72" s="35">
        <v>801937</v>
      </c>
      <c r="L72" s="35"/>
      <c r="M72" s="37">
        <f>F72/E72</f>
        <v>1</v>
      </c>
      <c r="N72" s="13"/>
      <c r="O72" s="13"/>
      <c r="P72" s="13"/>
      <c r="Q72" s="13"/>
    </row>
    <row r="73" spans="1:17" ht="15" x14ac:dyDescent="0.2">
      <c r="A73" s="45" t="s">
        <v>61</v>
      </c>
      <c r="B73" s="33">
        <v>2</v>
      </c>
      <c r="C73" s="33">
        <v>2</v>
      </c>
      <c r="D73" s="34">
        <v>466556</v>
      </c>
      <c r="E73" s="34">
        <v>933111</v>
      </c>
      <c r="F73" s="35">
        <v>933111</v>
      </c>
      <c r="G73" s="36">
        <v>0</v>
      </c>
      <c r="H73" s="35">
        <v>2</v>
      </c>
      <c r="I73" s="35">
        <v>2</v>
      </c>
      <c r="J73" s="36">
        <v>0</v>
      </c>
      <c r="K73" s="35">
        <v>933112</v>
      </c>
      <c r="L73" s="35"/>
      <c r="M73" s="37">
        <f>F73/E73</f>
        <v>1</v>
      </c>
      <c r="N73" s="13"/>
      <c r="O73" s="13"/>
      <c r="P73" s="13"/>
      <c r="Q73" s="13"/>
    </row>
    <row r="74" spans="1:17" x14ac:dyDescent="0.2">
      <c r="A74" s="46" t="s">
        <v>62</v>
      </c>
      <c r="B74" s="33"/>
      <c r="C74" s="33"/>
      <c r="D74" s="34"/>
      <c r="E74" s="39">
        <f>SUM(E72:E73)</f>
        <v>1735048</v>
      </c>
      <c r="F74" s="40">
        <f>SUM(F72:F73)</f>
        <v>1735048</v>
      </c>
      <c r="G74" s="40"/>
      <c r="H74" s="40"/>
      <c r="I74" s="40"/>
      <c r="J74" s="40"/>
      <c r="K74" s="40">
        <v>1735049</v>
      </c>
      <c r="L74" s="40">
        <f>SUM(L72:L73)</f>
        <v>0</v>
      </c>
      <c r="M74" s="41">
        <f>F74/E74</f>
        <v>1</v>
      </c>
      <c r="N74" s="17"/>
      <c r="O74" s="17"/>
      <c r="P74" s="17"/>
      <c r="Q74" s="17"/>
    </row>
    <row r="75" spans="1:17" x14ac:dyDescent="0.2">
      <c r="A75" s="46" t="s">
        <v>63</v>
      </c>
      <c r="B75" s="33"/>
      <c r="C75" s="33"/>
      <c r="D75" s="34"/>
      <c r="E75" s="34"/>
      <c r="F75" s="31"/>
      <c r="G75" s="31"/>
      <c r="H75" s="33"/>
      <c r="I75" s="31"/>
      <c r="J75" s="31"/>
      <c r="K75" s="31"/>
      <c r="L75" s="31"/>
      <c r="M75" s="31"/>
      <c r="N75" s="18"/>
      <c r="O75" s="18"/>
      <c r="P75" s="18"/>
      <c r="Q75" s="18"/>
    </row>
    <row r="76" spans="1:17" ht="15" x14ac:dyDescent="0.2">
      <c r="A76" s="45" t="s">
        <v>95</v>
      </c>
      <c r="B76" s="33">
        <v>3</v>
      </c>
      <c r="C76" s="33">
        <v>3</v>
      </c>
      <c r="D76" s="34">
        <v>171070</v>
      </c>
      <c r="E76" s="34">
        <v>513211</v>
      </c>
      <c r="F76" s="35">
        <v>513211</v>
      </c>
      <c r="G76" s="36">
        <v>0</v>
      </c>
      <c r="H76" s="35"/>
      <c r="I76" s="35"/>
      <c r="J76" s="36">
        <v>0</v>
      </c>
      <c r="K76" s="35">
        <v>513210</v>
      </c>
      <c r="L76" s="35"/>
      <c r="M76" s="37">
        <f t="shared" ref="M76:M81" si="8">F76/E76</f>
        <v>1</v>
      </c>
      <c r="N76" s="13"/>
      <c r="O76" s="13"/>
      <c r="P76" s="13"/>
      <c r="Q76" s="13"/>
    </row>
    <row r="77" spans="1:17" ht="15" x14ac:dyDescent="0.2">
      <c r="A77" s="105" t="s">
        <v>154</v>
      </c>
      <c r="B77" s="33">
        <v>1</v>
      </c>
      <c r="C77" s="33">
        <v>1</v>
      </c>
      <c r="D77" s="34">
        <v>215333</v>
      </c>
      <c r="E77" s="34">
        <f>B77*D77</f>
        <v>215333</v>
      </c>
      <c r="F77" s="35">
        <f>C77*D77</f>
        <v>215333</v>
      </c>
      <c r="G77" s="36">
        <v>0</v>
      </c>
      <c r="H77" s="35"/>
      <c r="I77" s="35"/>
      <c r="J77" s="36">
        <v>0</v>
      </c>
      <c r="K77" s="35"/>
      <c r="L77" s="35"/>
      <c r="M77" s="37">
        <f t="shared" si="8"/>
        <v>1</v>
      </c>
      <c r="N77" s="13"/>
      <c r="O77" s="13"/>
      <c r="P77" s="13"/>
      <c r="Q77" s="13"/>
    </row>
    <row r="78" spans="1:17" ht="15" x14ac:dyDescent="0.2">
      <c r="A78" s="45" t="s">
        <v>64</v>
      </c>
      <c r="B78" s="33">
        <v>40</v>
      </c>
      <c r="C78" s="33">
        <v>40</v>
      </c>
      <c r="D78" s="34">
        <v>35291</v>
      </c>
      <c r="E78" s="34">
        <v>1411630</v>
      </c>
      <c r="F78" s="35">
        <f>C78*D78</f>
        <v>1411640</v>
      </c>
      <c r="G78" s="36">
        <v>0</v>
      </c>
      <c r="H78" s="35"/>
      <c r="I78" s="35"/>
      <c r="J78" s="36">
        <v>0</v>
      </c>
      <c r="K78" s="35"/>
      <c r="L78" s="35"/>
      <c r="M78" s="37">
        <f t="shared" si="8"/>
        <v>1.0000070840092659</v>
      </c>
      <c r="N78" s="13"/>
      <c r="O78" s="13"/>
      <c r="P78" s="13"/>
      <c r="Q78" s="13"/>
    </row>
    <row r="79" spans="1:17" ht="15" x14ac:dyDescent="0.2">
      <c r="A79" s="139" t="s">
        <v>96</v>
      </c>
      <c r="B79" s="33">
        <v>50</v>
      </c>
      <c r="C79" s="33">
        <v>50</v>
      </c>
      <c r="D79" s="34">
        <v>23926</v>
      </c>
      <c r="E79" s="34">
        <v>1196296</v>
      </c>
      <c r="F79" s="35">
        <f>C79*D79</f>
        <v>1196300</v>
      </c>
      <c r="G79" s="36">
        <v>0</v>
      </c>
      <c r="H79" s="35"/>
      <c r="I79" s="35"/>
      <c r="J79" s="36">
        <v>0</v>
      </c>
      <c r="K79" s="35"/>
      <c r="L79" s="35"/>
      <c r="M79" s="37">
        <f t="shared" si="8"/>
        <v>1.0000033436540789</v>
      </c>
      <c r="N79" s="13"/>
      <c r="O79" s="13"/>
      <c r="P79" s="13"/>
      <c r="Q79" s="13"/>
    </row>
    <row r="80" spans="1:17" ht="15" x14ac:dyDescent="0.2">
      <c r="A80" s="45" t="s">
        <v>65</v>
      </c>
      <c r="B80" s="33">
        <v>18</v>
      </c>
      <c r="C80" s="33">
        <v>18</v>
      </c>
      <c r="D80" s="34">
        <v>118433</v>
      </c>
      <c r="E80" s="34">
        <v>2131800</v>
      </c>
      <c r="F80" s="35">
        <f>C80*D80</f>
        <v>2131794</v>
      </c>
      <c r="G80" s="36">
        <v>0</v>
      </c>
      <c r="H80" s="35"/>
      <c r="I80" s="35"/>
      <c r="J80" s="36">
        <v>0</v>
      </c>
      <c r="K80" s="35"/>
      <c r="L80" s="35"/>
      <c r="M80" s="37">
        <f t="shared" si="8"/>
        <v>0.99999718547706162</v>
      </c>
      <c r="N80" s="13"/>
      <c r="O80" s="13"/>
      <c r="P80" s="13"/>
      <c r="Q80" s="13"/>
    </row>
    <row r="81" spans="1:17" x14ac:dyDescent="0.2">
      <c r="A81" s="46" t="s">
        <v>66</v>
      </c>
      <c r="B81" s="33"/>
      <c r="C81" s="33"/>
      <c r="D81" s="34"/>
      <c r="E81" s="39">
        <f>SUM(E76:E80)</f>
        <v>5468270</v>
      </c>
      <c r="F81" s="40">
        <f>SUM(F76:F80)</f>
        <v>5468278</v>
      </c>
      <c r="G81" s="40"/>
      <c r="H81" s="40"/>
      <c r="I81" s="40"/>
      <c r="J81" s="40"/>
      <c r="K81" s="40">
        <v>513210</v>
      </c>
      <c r="L81" s="40">
        <f>SUM(L76:L80)</f>
        <v>0</v>
      </c>
      <c r="M81" s="41">
        <f t="shared" si="8"/>
        <v>1.0000014629855511</v>
      </c>
      <c r="N81" s="17"/>
      <c r="O81" s="17"/>
      <c r="P81" s="17"/>
      <c r="Q81" s="17"/>
    </row>
    <row r="82" spans="1:17" x14ac:dyDescent="0.2">
      <c r="A82" s="363" t="s">
        <v>67</v>
      </c>
      <c r="B82" s="363"/>
      <c r="C82" s="363"/>
      <c r="D82" s="363"/>
      <c r="E82" s="39">
        <f>E59+E66+E70+E74+E81</f>
        <v>21508380</v>
      </c>
      <c r="F82" s="47">
        <f>F59+F66+F70+F74+F81</f>
        <v>21508374</v>
      </c>
      <c r="G82" s="31"/>
      <c r="H82" s="33"/>
      <c r="I82" s="31"/>
      <c r="J82" s="31"/>
      <c r="K82" s="31"/>
      <c r="L82" s="31"/>
      <c r="M82" s="31"/>
      <c r="N82" s="18"/>
      <c r="O82" s="18"/>
      <c r="P82" s="18"/>
      <c r="Q82" s="18"/>
    </row>
    <row r="83" spans="1:17" x14ac:dyDescent="0.2">
      <c r="A83" s="31"/>
      <c r="B83" s="33"/>
      <c r="C83" s="33"/>
      <c r="D83" s="34"/>
      <c r="E83" s="34"/>
      <c r="F83" s="31"/>
      <c r="G83" s="31"/>
      <c r="H83" s="33"/>
      <c r="I83" s="31"/>
      <c r="J83" s="31"/>
      <c r="K83" s="31"/>
      <c r="L83" s="31"/>
      <c r="M83" s="31"/>
      <c r="N83" s="18"/>
      <c r="O83" s="18"/>
      <c r="P83" s="18"/>
      <c r="Q83" s="18"/>
    </row>
    <row r="84" spans="1:17" x14ac:dyDescent="0.2">
      <c r="A84" s="366" t="s">
        <v>68</v>
      </c>
      <c r="B84" s="366"/>
      <c r="C84" s="366"/>
      <c r="D84" s="366"/>
      <c r="E84" s="34"/>
      <c r="F84" s="31"/>
      <c r="G84" s="31"/>
      <c r="H84" s="33"/>
      <c r="I84" s="31"/>
      <c r="J84" s="31"/>
      <c r="K84" s="31"/>
      <c r="L84" s="31"/>
      <c r="M84" s="31"/>
      <c r="N84" s="18"/>
      <c r="O84" s="18"/>
      <c r="P84" s="18"/>
      <c r="Q84" s="18"/>
    </row>
    <row r="85" spans="1:17" ht="15" x14ac:dyDescent="0.2">
      <c r="A85" s="31" t="s">
        <v>69</v>
      </c>
      <c r="B85" s="33">
        <v>12</v>
      </c>
      <c r="C85" s="33">
        <v>12</v>
      </c>
      <c r="D85" s="34">
        <v>95704</v>
      </c>
      <c r="E85" s="34">
        <v>1148444</v>
      </c>
      <c r="F85" s="35">
        <v>1148444</v>
      </c>
      <c r="G85" s="36">
        <v>0</v>
      </c>
      <c r="H85" s="35">
        <v>12</v>
      </c>
      <c r="I85" s="35">
        <v>12</v>
      </c>
      <c r="J85" s="36">
        <v>0</v>
      </c>
      <c r="K85" s="35">
        <v>1148448</v>
      </c>
      <c r="L85" s="35"/>
      <c r="M85" s="37">
        <f>F85/E85</f>
        <v>1</v>
      </c>
      <c r="N85" s="13"/>
      <c r="O85" s="13"/>
      <c r="P85" s="13"/>
      <c r="Q85" s="13"/>
    </row>
    <row r="86" spans="1:17" ht="15" x14ac:dyDescent="0.2">
      <c r="A86" s="31" t="s">
        <v>181</v>
      </c>
      <c r="B86" s="33">
        <v>36</v>
      </c>
      <c r="C86" s="33">
        <v>36</v>
      </c>
      <c r="D86" s="34">
        <v>47852</v>
      </c>
      <c r="E86" s="34">
        <v>1722667</v>
      </c>
      <c r="F86" s="35">
        <v>1722667</v>
      </c>
      <c r="G86" s="36">
        <v>0</v>
      </c>
      <c r="H86" s="35">
        <v>36</v>
      </c>
      <c r="I86" s="35">
        <v>36</v>
      </c>
      <c r="J86" s="36">
        <v>0</v>
      </c>
      <c r="K86" s="35">
        <v>1722672</v>
      </c>
      <c r="L86" s="35"/>
      <c r="M86" s="37">
        <f>F86/E86</f>
        <v>1</v>
      </c>
      <c r="N86" s="13"/>
      <c r="O86" s="13"/>
      <c r="P86" s="13"/>
      <c r="Q86" s="13"/>
    </row>
    <row r="87" spans="1:17" ht="15" x14ac:dyDescent="0.2">
      <c r="A87" s="363" t="s">
        <v>70</v>
      </c>
      <c r="B87" s="363"/>
      <c r="C87" s="363"/>
      <c r="D87" s="363"/>
      <c r="E87" s="39">
        <f>SUM(E85:E86)</f>
        <v>2871111</v>
      </c>
      <c r="F87" s="35">
        <v>2871111</v>
      </c>
      <c r="G87" s="36"/>
      <c r="H87" s="35"/>
      <c r="I87" s="35"/>
      <c r="J87" s="36"/>
      <c r="K87" s="35">
        <v>2871111</v>
      </c>
      <c r="L87" s="35">
        <f>SUM(L85:L86)</f>
        <v>0</v>
      </c>
      <c r="M87" s="37">
        <f>F87/E87</f>
        <v>1</v>
      </c>
      <c r="N87" s="13"/>
      <c r="O87" s="13"/>
      <c r="P87" s="13"/>
      <c r="Q87" s="13"/>
    </row>
    <row r="88" spans="1:17" ht="15" x14ac:dyDescent="0.2">
      <c r="A88" s="38" t="s">
        <v>99</v>
      </c>
      <c r="B88" s="33"/>
      <c r="C88" s="33"/>
      <c r="D88" s="34"/>
      <c r="E88" s="39">
        <f>E30+E44+E51+E82+E87</f>
        <v>161577080</v>
      </c>
      <c r="F88" s="119">
        <f>F30+F44+F51+F82+F87</f>
        <v>161577068</v>
      </c>
      <c r="G88" s="36"/>
      <c r="H88" s="48"/>
      <c r="I88" s="47"/>
      <c r="J88" s="36"/>
      <c r="K88" s="108">
        <v>36523096</v>
      </c>
      <c r="L88" s="110">
        <v>63194096</v>
      </c>
      <c r="M88" s="41">
        <f>F88/E88</f>
        <v>0.99999992573204066</v>
      </c>
      <c r="N88" s="14"/>
      <c r="O88" s="126">
        <f>E79+E68+E55+E27+E26+E19+E17+E15</f>
        <v>8493106</v>
      </c>
      <c r="P88" s="14"/>
      <c r="Q88" s="14"/>
    </row>
    <row r="89" spans="1:17" ht="15" x14ac:dyDescent="0.2">
      <c r="A89" s="31" t="s">
        <v>159</v>
      </c>
      <c r="B89" s="33"/>
      <c r="C89" s="33"/>
      <c r="D89" s="34"/>
      <c r="E89" s="34">
        <v>56551979</v>
      </c>
      <c r="F89" s="49">
        <f>(F88*35)/100</f>
        <v>56551973.799999997</v>
      </c>
      <c r="G89" s="36"/>
      <c r="H89" s="49"/>
      <c r="I89" s="49"/>
      <c r="J89" s="36"/>
      <c r="K89" s="49">
        <v>17413858.350000001</v>
      </c>
      <c r="L89" s="49">
        <f>L88*35/100</f>
        <v>22117933.600000001</v>
      </c>
      <c r="M89" s="50">
        <f>F89/E89</f>
        <v>0.99999990804919481</v>
      </c>
      <c r="N89" s="14"/>
      <c r="O89" s="14"/>
      <c r="P89" s="14"/>
      <c r="Q89" s="14"/>
    </row>
    <row r="90" spans="1:17" ht="15" x14ac:dyDescent="0.2">
      <c r="A90" s="38" t="s">
        <v>98</v>
      </c>
      <c r="B90" s="33"/>
      <c r="C90" s="33"/>
      <c r="D90" s="34"/>
      <c r="E90" s="34"/>
      <c r="F90" s="31"/>
      <c r="G90" s="31"/>
      <c r="H90" s="33"/>
      <c r="I90" s="31"/>
      <c r="J90" s="31"/>
      <c r="K90" s="31"/>
      <c r="L90" s="31"/>
      <c r="M90" s="37"/>
      <c r="N90" s="13"/>
      <c r="O90" s="126">
        <f>E88-F88</f>
        <v>12</v>
      </c>
      <c r="P90" s="13"/>
      <c r="Q90" s="13"/>
    </row>
    <row r="91" spans="1:17" ht="42.75" x14ac:dyDescent="0.2">
      <c r="A91" s="32" t="s">
        <v>71</v>
      </c>
      <c r="B91" s="33">
        <v>1</v>
      </c>
      <c r="C91" s="33">
        <v>1</v>
      </c>
      <c r="D91" s="34">
        <v>2924789</v>
      </c>
      <c r="E91" s="34">
        <f>B91*D91</f>
        <v>2924789</v>
      </c>
      <c r="F91" s="47">
        <f>E91*C91</f>
        <v>2924789</v>
      </c>
      <c r="G91" s="33">
        <v>0</v>
      </c>
      <c r="H91" s="33"/>
      <c r="I91" s="31"/>
      <c r="J91" s="33">
        <v>0</v>
      </c>
      <c r="K91" s="113">
        <v>2924789</v>
      </c>
      <c r="L91" s="113">
        <v>2924789</v>
      </c>
      <c r="M91" s="37">
        <f t="shared" ref="M91:M96" si="9">F91/E91</f>
        <v>1</v>
      </c>
      <c r="N91" s="13"/>
      <c r="O91" s="13"/>
      <c r="P91" s="13"/>
      <c r="Q91" s="13"/>
    </row>
    <row r="92" spans="1:17" ht="57" x14ac:dyDescent="0.2">
      <c r="A92" s="32" t="s">
        <v>72</v>
      </c>
      <c r="B92" s="33">
        <v>1</v>
      </c>
      <c r="C92" s="33">
        <v>1</v>
      </c>
      <c r="D92" s="34">
        <v>3788875</v>
      </c>
      <c r="E92" s="34">
        <f>B92*D92</f>
        <v>3788875</v>
      </c>
      <c r="F92" s="47">
        <f>D92*C92</f>
        <v>3788875</v>
      </c>
      <c r="G92" s="33">
        <v>0</v>
      </c>
      <c r="H92" s="33"/>
      <c r="I92" s="31"/>
      <c r="J92" s="33">
        <v>0</v>
      </c>
      <c r="K92" s="113">
        <v>3788875</v>
      </c>
      <c r="L92" s="113">
        <v>3788875</v>
      </c>
      <c r="M92" s="37">
        <f t="shared" si="9"/>
        <v>1</v>
      </c>
      <c r="N92" s="13"/>
      <c r="O92" s="13"/>
      <c r="P92" s="13"/>
      <c r="Q92" s="13"/>
    </row>
    <row r="93" spans="1:17" ht="28.5" x14ac:dyDescent="0.2">
      <c r="A93" s="32" t="s">
        <v>170</v>
      </c>
      <c r="B93" s="33">
        <v>1</v>
      </c>
      <c r="C93" s="129">
        <v>1</v>
      </c>
      <c r="D93" s="34">
        <v>31423246</v>
      </c>
      <c r="E93" s="34">
        <f>B93*D93</f>
        <v>31423246</v>
      </c>
      <c r="F93" s="111">
        <f>C93*E93</f>
        <v>31423246</v>
      </c>
      <c r="G93" s="33">
        <v>0</v>
      </c>
      <c r="H93" s="33"/>
      <c r="I93" s="31"/>
      <c r="J93" s="33">
        <v>0</v>
      </c>
      <c r="K93" s="31"/>
      <c r="L93" s="112">
        <v>6284649</v>
      </c>
      <c r="M93" s="37">
        <f t="shared" si="9"/>
        <v>1</v>
      </c>
      <c r="N93" s="13"/>
      <c r="O93" s="13"/>
      <c r="P93" s="13"/>
      <c r="Q93" s="13"/>
    </row>
    <row r="94" spans="1:17" ht="30" customHeight="1" x14ac:dyDescent="0.2">
      <c r="A94" s="32" t="s">
        <v>74</v>
      </c>
      <c r="B94" s="33">
        <v>1</v>
      </c>
      <c r="C94" s="129">
        <v>1</v>
      </c>
      <c r="D94" s="34">
        <v>9326567</v>
      </c>
      <c r="E94" s="34">
        <f>B94*D94</f>
        <v>9326567</v>
      </c>
      <c r="F94" s="111">
        <f>C94*E94</f>
        <v>9326567</v>
      </c>
      <c r="G94" s="33">
        <v>0</v>
      </c>
      <c r="H94" s="33"/>
      <c r="I94" s="31"/>
      <c r="J94" s="33">
        <v>0</v>
      </c>
      <c r="K94" s="31"/>
      <c r="L94" s="31"/>
      <c r="M94" s="37">
        <f t="shared" si="9"/>
        <v>1</v>
      </c>
      <c r="N94" s="13"/>
      <c r="O94" s="13"/>
      <c r="P94" s="13"/>
      <c r="Q94" s="13"/>
    </row>
    <row r="95" spans="1:17" ht="28.5" x14ac:dyDescent="0.2">
      <c r="A95" s="140" t="s">
        <v>168</v>
      </c>
      <c r="B95" s="33">
        <v>1</v>
      </c>
      <c r="C95" s="129">
        <v>1</v>
      </c>
      <c r="D95" s="34">
        <v>9750000</v>
      </c>
      <c r="E95" s="34">
        <f>B95*D95</f>
        <v>9750000</v>
      </c>
      <c r="F95" s="111">
        <f>C95*E95</f>
        <v>9750000</v>
      </c>
      <c r="G95" s="33">
        <v>0</v>
      </c>
      <c r="H95" s="52" t="s">
        <v>100</v>
      </c>
      <c r="I95" s="51" t="s">
        <v>100</v>
      </c>
      <c r="J95" s="33">
        <v>0</v>
      </c>
      <c r="K95" s="51">
        <f>E95*C95</f>
        <v>9750000</v>
      </c>
      <c r="L95" s="51">
        <f>9750000*0.46</f>
        <v>4485000</v>
      </c>
      <c r="M95" s="106">
        <f t="shared" si="9"/>
        <v>1</v>
      </c>
      <c r="N95" s="14"/>
      <c r="O95" s="14"/>
      <c r="P95" s="14"/>
      <c r="Q95" s="14"/>
    </row>
    <row r="96" spans="1:17" x14ac:dyDescent="0.2">
      <c r="A96" s="363" t="s">
        <v>109</v>
      </c>
      <c r="B96" s="363"/>
      <c r="C96" s="363"/>
      <c r="D96" s="363"/>
      <c r="E96" s="39">
        <f>SUM(E91:E95)</f>
        <v>57213477</v>
      </c>
      <c r="F96" s="51">
        <f>F91+F92+F93+F94+F95</f>
        <v>57213477</v>
      </c>
      <c r="G96" s="51"/>
      <c r="H96" s="52"/>
      <c r="I96" s="51"/>
      <c r="J96" s="51"/>
      <c r="K96" s="51">
        <v>18685813.199999999</v>
      </c>
      <c r="L96" s="51">
        <f>L91+L92+L93+L94+L95</f>
        <v>17483313</v>
      </c>
      <c r="M96" s="50">
        <f t="shared" si="9"/>
        <v>1</v>
      </c>
      <c r="N96" s="15"/>
      <c r="O96" s="213">
        <f>E96-F96</f>
        <v>0</v>
      </c>
      <c r="P96" s="15"/>
      <c r="Q96" s="15"/>
    </row>
    <row r="97" spans="1:17" x14ac:dyDescent="0.2">
      <c r="A97" s="363" t="s">
        <v>108</v>
      </c>
      <c r="B97" s="363"/>
      <c r="C97" s="363"/>
      <c r="D97" s="363"/>
      <c r="E97" s="39">
        <f>E96*0.1925</f>
        <v>11013594.3225</v>
      </c>
      <c r="F97" s="107">
        <f>PRODUCT(F96,19.25%)</f>
        <v>11013594.3225</v>
      </c>
      <c r="G97" s="53"/>
      <c r="H97" s="54"/>
      <c r="I97" s="53"/>
      <c r="J97" s="53"/>
      <c r="K97" s="53"/>
      <c r="L97" s="53"/>
      <c r="M97" s="55"/>
      <c r="N97" s="15"/>
      <c r="O97" s="15"/>
      <c r="P97" s="15"/>
      <c r="Q97" s="15"/>
    </row>
    <row r="98" spans="1:17" ht="19.5" customHeight="1" x14ac:dyDescent="0.2">
      <c r="A98" s="365" t="s">
        <v>106</v>
      </c>
      <c r="B98" s="365"/>
      <c r="C98" s="365"/>
      <c r="D98" s="365"/>
      <c r="E98" s="56">
        <f>E88+E96+E89</f>
        <v>275342536</v>
      </c>
      <c r="F98" s="56">
        <f>F88+F96+F89</f>
        <v>275342518.80000001</v>
      </c>
      <c r="G98" s="56"/>
      <c r="H98" s="57"/>
      <c r="I98" s="56"/>
      <c r="J98" s="56"/>
      <c r="K98" s="56">
        <v>72622767.549999997</v>
      </c>
      <c r="L98" s="56">
        <f>L88+L89+L96</f>
        <v>102795342.59999999</v>
      </c>
      <c r="M98" s="132">
        <f>F98/E98</f>
        <v>0.99999993753235428</v>
      </c>
      <c r="N98" s="19"/>
      <c r="O98" s="19"/>
      <c r="P98" s="19"/>
      <c r="Q98" s="19"/>
    </row>
    <row r="100" spans="1:17" x14ac:dyDescent="0.2">
      <c r="B100" s="16"/>
      <c r="C100" s="16"/>
      <c r="D100" s="16"/>
      <c r="E100" s="16"/>
      <c r="H100" s="16"/>
    </row>
    <row r="101" spans="1:17" x14ac:dyDescent="0.2">
      <c r="B101" s="16"/>
      <c r="C101" s="16"/>
      <c r="D101" s="16"/>
      <c r="E101" s="121"/>
      <c r="F101" s="127">
        <f>E98-F98</f>
        <v>17.199999988079071</v>
      </c>
      <c r="H101" s="16"/>
    </row>
    <row r="102" spans="1:17" x14ac:dyDescent="0.2">
      <c r="B102" s="16"/>
      <c r="C102" s="16"/>
      <c r="D102" s="16"/>
      <c r="E102" s="16"/>
      <c r="H102" s="16"/>
    </row>
    <row r="103" spans="1:17" x14ac:dyDescent="0.2">
      <c r="B103" s="16"/>
      <c r="C103" s="16"/>
      <c r="D103" s="16"/>
      <c r="E103" s="16"/>
      <c r="H103" s="16"/>
    </row>
    <row r="104" spans="1:17" x14ac:dyDescent="0.2">
      <c r="B104" s="16"/>
      <c r="C104" s="16"/>
      <c r="D104" s="16"/>
      <c r="E104" s="121"/>
      <c r="H104" s="16"/>
    </row>
    <row r="109" spans="1:17" x14ac:dyDescent="0.2">
      <c r="F109" s="232">
        <f>23838148+46174864+67210360+46282185</f>
        <v>183505557</v>
      </c>
      <c r="M109" s="16" t="s">
        <v>189</v>
      </c>
    </row>
    <row r="113" spans="6:6" x14ac:dyDescent="0.2">
      <c r="F113" s="121"/>
    </row>
  </sheetData>
  <mergeCells count="29">
    <mergeCell ref="H2:I2"/>
    <mergeCell ref="A2:G2"/>
    <mergeCell ref="E3:E4"/>
    <mergeCell ref="D3:D4"/>
    <mergeCell ref="A96:D96"/>
    <mergeCell ref="A46:F46"/>
    <mergeCell ref="F3:F4"/>
    <mergeCell ref="A24:D24"/>
    <mergeCell ref="A25:F25"/>
    <mergeCell ref="A30:D30"/>
    <mergeCell ref="A32:F32"/>
    <mergeCell ref="A44:D44"/>
    <mergeCell ref="A97:D97"/>
    <mergeCell ref="A98:D98"/>
    <mergeCell ref="A51:D51"/>
    <mergeCell ref="A59:D59"/>
    <mergeCell ref="A66:D66"/>
    <mergeCell ref="A82:D82"/>
    <mergeCell ref="A84:D84"/>
    <mergeCell ref="A87:D87"/>
    <mergeCell ref="M3:M4"/>
    <mergeCell ref="A6:F6"/>
    <mergeCell ref="A20:D20"/>
    <mergeCell ref="A21:F21"/>
    <mergeCell ref="C3:C4"/>
    <mergeCell ref="B3:B4"/>
    <mergeCell ref="A3:A4"/>
    <mergeCell ref="G3:I3"/>
    <mergeCell ref="J3:L3"/>
  </mergeCells>
  <printOptions horizontalCentered="1"/>
  <pageMargins left="0.70866141732283472" right="0.70866141732283472" top="0.35433070866141736" bottom="0.39370078740157483" header="0.31496062992125984" footer="0.31496062992125984"/>
  <pageSetup paperSize="9" scale="80" fitToWidth="100" fitToHeight="10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K115"/>
  <sheetViews>
    <sheetView topLeftCell="B97" workbookViewId="0">
      <selection activeCell="H108" sqref="H108"/>
    </sheetView>
  </sheetViews>
  <sheetFormatPr baseColWidth="10" defaultRowHeight="15.75" x14ac:dyDescent="0.25"/>
  <cols>
    <col min="1" max="1" width="6.5703125" style="20" customWidth="1"/>
    <col min="2" max="2" width="23" style="20" customWidth="1"/>
    <col min="3" max="3" width="6.5703125" style="97" customWidth="1"/>
    <col min="4" max="4" width="14.85546875" style="97" customWidth="1"/>
    <col min="5" max="5" width="16.28515625" style="98" customWidth="1"/>
    <col min="6" max="6" width="19.28515625" style="98" customWidth="1"/>
    <col min="7" max="7" width="16.42578125" style="20" customWidth="1"/>
    <col min="8" max="8" width="13.140625" style="20" customWidth="1"/>
    <col min="9" max="9" width="12.5703125" style="20" customWidth="1"/>
    <col min="10" max="10" width="11.42578125" style="20"/>
    <col min="11" max="11" width="17.28515625" style="20" bestFit="1" customWidth="1"/>
    <col min="12" max="16384" width="11.42578125" style="20"/>
  </cols>
  <sheetData>
    <row r="1" spans="1:8" ht="16.5" thickTop="1" x14ac:dyDescent="0.25">
      <c r="A1" s="400" t="s">
        <v>77</v>
      </c>
      <c r="B1" s="401"/>
      <c r="C1" s="401"/>
      <c r="D1" s="401"/>
      <c r="E1" s="401"/>
      <c r="F1" s="58">
        <f ca="1">TODAY()</f>
        <v>43780</v>
      </c>
      <c r="G1" s="402" t="s">
        <v>78</v>
      </c>
      <c r="H1" s="404" t="s">
        <v>90</v>
      </c>
    </row>
    <row r="2" spans="1:8" s="63" customFormat="1" ht="47.25" x14ac:dyDescent="0.25">
      <c r="A2" s="59" t="s">
        <v>0</v>
      </c>
      <c r="B2" s="60" t="s">
        <v>2</v>
      </c>
      <c r="C2" s="60" t="s">
        <v>1</v>
      </c>
      <c r="D2" s="61" t="s">
        <v>89</v>
      </c>
      <c r="E2" s="62" t="s">
        <v>3</v>
      </c>
      <c r="F2" s="62" t="s">
        <v>93</v>
      </c>
      <c r="G2" s="403"/>
      <c r="H2" s="405"/>
    </row>
    <row r="3" spans="1:8" x14ac:dyDescent="0.25">
      <c r="A3" s="406" t="s">
        <v>4</v>
      </c>
      <c r="B3" s="388"/>
      <c r="C3" s="388"/>
      <c r="D3" s="388"/>
      <c r="E3" s="388"/>
      <c r="F3" s="388"/>
      <c r="G3" s="388"/>
      <c r="H3" s="407"/>
    </row>
    <row r="4" spans="1:8" x14ac:dyDescent="0.25">
      <c r="A4" s="64"/>
      <c r="B4" s="388" t="s">
        <v>5</v>
      </c>
      <c r="C4" s="388"/>
      <c r="D4" s="388"/>
      <c r="E4" s="388"/>
      <c r="F4" s="388"/>
      <c r="G4" s="388"/>
      <c r="H4" s="65"/>
    </row>
    <row r="5" spans="1:8" ht="31.5" x14ac:dyDescent="0.25">
      <c r="A5" s="64"/>
      <c r="B5" s="66" t="s">
        <v>160</v>
      </c>
      <c r="C5" s="3">
        <v>3</v>
      </c>
      <c r="D5" s="3">
        <v>3</v>
      </c>
      <c r="E5" s="4">
        <v>4426296</v>
      </c>
      <c r="F5" s="4">
        <f>C5*E5</f>
        <v>13278888</v>
      </c>
      <c r="G5" s="67">
        <f>D5*E5</f>
        <v>13278888</v>
      </c>
      <c r="H5" s="68">
        <f>G5/F5</f>
        <v>1</v>
      </c>
    </row>
    <row r="6" spans="1:8" x14ac:dyDescent="0.25">
      <c r="A6" s="64"/>
      <c r="B6" s="66" t="s">
        <v>6</v>
      </c>
      <c r="C6" s="3">
        <v>3</v>
      </c>
      <c r="D6" s="3">
        <v>3</v>
      </c>
      <c r="E6" s="4">
        <v>5305574</v>
      </c>
      <c r="F6" s="4">
        <f>C6*E6</f>
        <v>15916722</v>
      </c>
      <c r="G6" s="67">
        <f>D6*E6</f>
        <v>15916722</v>
      </c>
      <c r="H6" s="68">
        <f>G6/F6</f>
        <v>1</v>
      </c>
    </row>
    <row r="7" spans="1:8" ht="31.5" x14ac:dyDescent="0.25">
      <c r="A7" s="64"/>
      <c r="B7" s="66" t="s">
        <v>7</v>
      </c>
      <c r="C7" s="3">
        <v>3</v>
      </c>
      <c r="D7" s="3">
        <v>3</v>
      </c>
      <c r="E7" s="4">
        <v>7500778</v>
      </c>
      <c r="F7" s="4">
        <f>C7*E7</f>
        <v>22502334</v>
      </c>
      <c r="G7" s="67">
        <f>D7*E7</f>
        <v>22502334</v>
      </c>
      <c r="H7" s="68">
        <f>G7/F7</f>
        <v>1</v>
      </c>
    </row>
    <row r="8" spans="1:8" ht="16.5" x14ac:dyDescent="0.25">
      <c r="A8" s="64"/>
      <c r="B8" s="1" t="s">
        <v>8</v>
      </c>
      <c r="C8" s="3"/>
      <c r="D8" s="3"/>
      <c r="E8" s="4"/>
      <c r="F8" s="69">
        <f>SUM(F5:F7)</f>
        <v>51697944</v>
      </c>
      <c r="G8" s="70">
        <f>SUM(G5:G7)</f>
        <v>51697944</v>
      </c>
      <c r="H8" s="71">
        <f>G8/F8</f>
        <v>1</v>
      </c>
    </row>
    <row r="9" spans="1:8" x14ac:dyDescent="0.25">
      <c r="A9" s="64"/>
      <c r="B9" s="2"/>
      <c r="C9" s="3"/>
      <c r="D9" s="3"/>
      <c r="E9" s="4"/>
      <c r="F9" s="4"/>
      <c r="G9" s="2"/>
      <c r="H9" s="65"/>
    </row>
    <row r="10" spans="1:8" x14ac:dyDescent="0.25">
      <c r="A10" s="64"/>
      <c r="B10" s="1" t="s">
        <v>9</v>
      </c>
      <c r="C10" s="3"/>
      <c r="D10" s="3"/>
      <c r="E10" s="4"/>
      <c r="F10" s="4"/>
      <c r="G10" s="2"/>
      <c r="H10" s="65"/>
    </row>
    <row r="11" spans="1:8" x14ac:dyDescent="0.25">
      <c r="A11" s="64"/>
      <c r="B11" s="125" t="s">
        <v>10</v>
      </c>
      <c r="C11" s="3">
        <v>1</v>
      </c>
      <c r="D11" s="3"/>
      <c r="E11" s="72">
        <v>17944444</v>
      </c>
      <c r="F11" s="4">
        <f>C11*E11</f>
        <v>17944444</v>
      </c>
      <c r="G11" s="67">
        <f>D11*E11</f>
        <v>0</v>
      </c>
      <c r="H11" s="68">
        <f>G11/F11</f>
        <v>0</v>
      </c>
    </row>
    <row r="12" spans="1:8" x14ac:dyDescent="0.25">
      <c r="A12" s="64"/>
      <c r="B12" s="125" t="s">
        <v>11</v>
      </c>
      <c r="C12" s="3">
        <v>1</v>
      </c>
      <c r="D12" s="3"/>
      <c r="E12" s="4">
        <v>2691667</v>
      </c>
      <c r="F12" s="4">
        <f t="shared" ref="F12:F17" si="0">C12*E12</f>
        <v>2691667</v>
      </c>
      <c r="G12" s="67">
        <f t="shared" ref="G12:G17" si="1">D12*E12</f>
        <v>0</v>
      </c>
      <c r="H12" s="68">
        <f t="shared" ref="H12:H18" si="2">G12/F12</f>
        <v>0</v>
      </c>
    </row>
    <row r="13" spans="1:8" x14ac:dyDescent="0.25">
      <c r="A13" s="64"/>
      <c r="B13" s="125" t="s">
        <v>12</v>
      </c>
      <c r="C13" s="3">
        <v>1</v>
      </c>
      <c r="D13" s="3"/>
      <c r="E13" s="4">
        <v>1940991</v>
      </c>
      <c r="F13" s="4">
        <f t="shared" si="0"/>
        <v>1940991</v>
      </c>
      <c r="G13" s="67">
        <f t="shared" si="1"/>
        <v>0</v>
      </c>
      <c r="H13" s="68">
        <f t="shared" si="2"/>
        <v>0</v>
      </c>
    </row>
    <row r="14" spans="1:8" x14ac:dyDescent="0.25">
      <c r="A14" s="64"/>
      <c r="B14" s="125" t="s">
        <v>13</v>
      </c>
      <c r="C14" s="3">
        <v>1</v>
      </c>
      <c r="D14" s="3"/>
      <c r="E14" s="4">
        <v>1705320</v>
      </c>
      <c r="F14" s="4">
        <f t="shared" si="0"/>
        <v>1705320</v>
      </c>
      <c r="G14" s="67">
        <f t="shared" si="1"/>
        <v>0</v>
      </c>
      <c r="H14" s="68">
        <f t="shared" si="2"/>
        <v>0</v>
      </c>
    </row>
    <row r="15" spans="1:8" x14ac:dyDescent="0.25">
      <c r="A15" s="64"/>
      <c r="B15" s="125" t="s">
        <v>14</v>
      </c>
      <c r="C15" s="3">
        <v>1</v>
      </c>
      <c r="D15" s="3"/>
      <c r="E15" s="4">
        <v>1046759</v>
      </c>
      <c r="F15" s="4">
        <f t="shared" si="0"/>
        <v>1046759</v>
      </c>
      <c r="G15" s="67">
        <f t="shared" si="1"/>
        <v>0</v>
      </c>
      <c r="H15" s="68">
        <f t="shared" si="2"/>
        <v>0</v>
      </c>
    </row>
    <row r="16" spans="1:8" x14ac:dyDescent="0.25">
      <c r="A16" s="64"/>
      <c r="B16" s="2" t="s">
        <v>176</v>
      </c>
      <c r="C16" s="3">
        <v>3</v>
      </c>
      <c r="D16" s="3">
        <v>3</v>
      </c>
      <c r="E16" s="4">
        <v>2135389</v>
      </c>
      <c r="F16" s="4">
        <f t="shared" si="0"/>
        <v>6406167</v>
      </c>
      <c r="G16" s="67">
        <f t="shared" si="1"/>
        <v>6406167</v>
      </c>
      <c r="H16" s="68">
        <f t="shared" si="2"/>
        <v>1</v>
      </c>
    </row>
    <row r="17" spans="1:8" x14ac:dyDescent="0.25">
      <c r="A17" s="64"/>
      <c r="B17" s="125" t="s">
        <v>15</v>
      </c>
      <c r="C17" s="3">
        <v>5</v>
      </c>
      <c r="D17" s="3"/>
      <c r="E17" s="4">
        <v>323000</v>
      </c>
      <c r="F17" s="4">
        <f t="shared" si="0"/>
        <v>1615000</v>
      </c>
      <c r="G17" s="67">
        <f t="shared" si="1"/>
        <v>0</v>
      </c>
      <c r="H17" s="68">
        <f t="shared" si="2"/>
        <v>0</v>
      </c>
    </row>
    <row r="18" spans="1:8" ht="16.5" x14ac:dyDescent="0.25">
      <c r="A18" s="64"/>
      <c r="B18" s="388" t="s">
        <v>16</v>
      </c>
      <c r="C18" s="388"/>
      <c r="D18" s="388"/>
      <c r="E18" s="388"/>
      <c r="F18" s="69">
        <f>SUM(F11:F17)</f>
        <v>33350348</v>
      </c>
      <c r="G18" s="70">
        <f>SUM(G11:G17)</f>
        <v>6406167</v>
      </c>
      <c r="H18" s="71">
        <f t="shared" si="2"/>
        <v>0.19208696113156001</v>
      </c>
    </row>
    <row r="19" spans="1:8" x14ac:dyDescent="0.25">
      <c r="A19" s="64"/>
      <c r="B19" s="388" t="s">
        <v>17</v>
      </c>
      <c r="C19" s="388"/>
      <c r="D19" s="388"/>
      <c r="E19" s="388"/>
      <c r="F19" s="388"/>
      <c r="G19" s="388"/>
      <c r="H19" s="65"/>
    </row>
    <row r="20" spans="1:8" x14ac:dyDescent="0.25">
      <c r="A20" s="64"/>
      <c r="B20" s="2" t="s">
        <v>18</v>
      </c>
      <c r="C20" s="3">
        <v>2</v>
      </c>
      <c r="D20" s="3">
        <v>2</v>
      </c>
      <c r="E20" s="4">
        <v>3887963</v>
      </c>
      <c r="F20" s="4">
        <f>C20*E20</f>
        <v>7775926</v>
      </c>
      <c r="G20" s="67">
        <f>D20*E20</f>
        <v>7775926</v>
      </c>
      <c r="H20" s="68">
        <f>G20/F20</f>
        <v>1</v>
      </c>
    </row>
    <row r="21" spans="1:8" ht="47.25" x14ac:dyDescent="0.25">
      <c r="A21" s="64"/>
      <c r="B21" s="66" t="s">
        <v>153</v>
      </c>
      <c r="C21" s="3">
        <v>2</v>
      </c>
      <c r="D21" s="3">
        <v>2</v>
      </c>
      <c r="E21" s="4">
        <v>5383333</v>
      </c>
      <c r="F21" s="4">
        <f>C21*E21</f>
        <v>10766666</v>
      </c>
      <c r="G21" s="67">
        <f>D21*E21</f>
        <v>10766666</v>
      </c>
      <c r="H21" s="68">
        <f>G21/F21</f>
        <v>1</v>
      </c>
    </row>
    <row r="22" spans="1:8" ht="16.5" x14ac:dyDescent="0.25">
      <c r="A22" s="64"/>
      <c r="B22" s="388" t="s">
        <v>19</v>
      </c>
      <c r="C22" s="388"/>
      <c r="D22" s="388"/>
      <c r="E22" s="388"/>
      <c r="F22" s="69">
        <f>SUM(F20:F21)</f>
        <v>18542592</v>
      </c>
      <c r="G22" s="70">
        <f>SUM(G20:G21)</f>
        <v>18542592</v>
      </c>
      <c r="H22" s="71">
        <f>G22/F22</f>
        <v>1</v>
      </c>
    </row>
    <row r="23" spans="1:8" x14ac:dyDescent="0.25">
      <c r="A23" s="64"/>
      <c r="B23" s="388" t="s">
        <v>20</v>
      </c>
      <c r="C23" s="388"/>
      <c r="D23" s="388"/>
      <c r="E23" s="388"/>
      <c r="F23" s="388"/>
      <c r="G23" s="388"/>
      <c r="H23" s="65"/>
    </row>
    <row r="24" spans="1:8" x14ac:dyDescent="0.25">
      <c r="A24" s="64"/>
      <c r="B24" s="125" t="s">
        <v>21</v>
      </c>
      <c r="C24" s="3">
        <v>4</v>
      </c>
      <c r="D24" s="3"/>
      <c r="E24" s="4">
        <v>193800</v>
      </c>
      <c r="F24" s="4">
        <f>C24*E24</f>
        <v>775200</v>
      </c>
      <c r="G24" s="67">
        <f>D24*E24</f>
        <v>0</v>
      </c>
      <c r="H24" s="68">
        <f>G24/F24</f>
        <v>0</v>
      </c>
    </row>
    <row r="25" spans="1:8" x14ac:dyDescent="0.25">
      <c r="A25" s="64"/>
      <c r="B25" s="125" t="s">
        <v>22</v>
      </c>
      <c r="C25" s="3">
        <v>4</v>
      </c>
      <c r="D25" s="3"/>
      <c r="E25" s="4">
        <v>93311</v>
      </c>
      <c r="F25" s="4">
        <f>C25*E25</f>
        <v>373244</v>
      </c>
      <c r="G25" s="67">
        <f>D25*E25</f>
        <v>0</v>
      </c>
      <c r="H25" s="68">
        <f>G25/F25</f>
        <v>0</v>
      </c>
    </row>
    <row r="26" spans="1:8" x14ac:dyDescent="0.25">
      <c r="A26" s="64"/>
      <c r="B26" s="2" t="s">
        <v>23</v>
      </c>
      <c r="C26" s="3">
        <v>3</v>
      </c>
      <c r="D26" s="3">
        <v>3</v>
      </c>
      <c r="E26" s="4">
        <v>260194</v>
      </c>
      <c r="F26" s="4">
        <f>E26*C26</f>
        <v>780582</v>
      </c>
      <c r="G26" s="67">
        <f>D26*E26</f>
        <v>780582</v>
      </c>
      <c r="H26" s="68">
        <f>G26/F26</f>
        <v>1</v>
      </c>
    </row>
    <row r="27" spans="1:8" x14ac:dyDescent="0.25">
      <c r="A27" s="64"/>
      <c r="B27" s="1" t="s">
        <v>24</v>
      </c>
      <c r="C27" s="3"/>
      <c r="D27" s="3"/>
      <c r="E27" s="4"/>
      <c r="F27" s="69">
        <f>SUM(F24:F26)</f>
        <v>1929026</v>
      </c>
      <c r="G27" s="67">
        <f>SUM(G24:G26)</f>
        <v>780582</v>
      </c>
      <c r="H27" s="68">
        <f>G27/F27</f>
        <v>0.40465084451946215</v>
      </c>
    </row>
    <row r="28" spans="1:8" ht="16.5" x14ac:dyDescent="0.25">
      <c r="A28" s="64"/>
      <c r="B28" s="388" t="s">
        <v>25</v>
      </c>
      <c r="C28" s="388"/>
      <c r="D28" s="388"/>
      <c r="E28" s="388"/>
      <c r="F28" s="69">
        <f>F8+F18+F22+F27</f>
        <v>105519910</v>
      </c>
      <c r="G28" s="70">
        <f>G27+G22+G18+G8</f>
        <v>77427285</v>
      </c>
      <c r="H28" s="71">
        <f>G28/F28</f>
        <v>0.73376943744550194</v>
      </c>
    </row>
    <row r="29" spans="1:8" x14ac:dyDescent="0.25">
      <c r="A29" s="64"/>
      <c r="B29" s="2"/>
      <c r="C29" s="3"/>
      <c r="D29" s="3"/>
      <c r="E29" s="4"/>
      <c r="F29" s="4"/>
      <c r="G29" s="2"/>
      <c r="H29" s="65"/>
    </row>
    <row r="30" spans="1:8" x14ac:dyDescent="0.25">
      <c r="A30" s="64"/>
      <c r="B30" s="388" t="s">
        <v>26</v>
      </c>
      <c r="C30" s="388"/>
      <c r="D30" s="388"/>
      <c r="E30" s="388"/>
      <c r="F30" s="388"/>
      <c r="G30" s="388"/>
      <c r="H30" s="65"/>
    </row>
    <row r="31" spans="1:8" x14ac:dyDescent="0.25">
      <c r="A31" s="64"/>
      <c r="B31" s="2" t="s">
        <v>27</v>
      </c>
      <c r="C31" s="3">
        <v>1</v>
      </c>
      <c r="D31" s="3">
        <v>1</v>
      </c>
      <c r="E31" s="4">
        <v>1046759</v>
      </c>
      <c r="F31" s="4">
        <f>C31*E31</f>
        <v>1046759</v>
      </c>
      <c r="G31" s="67">
        <f t="shared" ref="G31:G41" si="3">D31*E31</f>
        <v>1046759</v>
      </c>
      <c r="H31" s="68">
        <f t="shared" ref="H31:H41" si="4">G31/F31</f>
        <v>1</v>
      </c>
    </row>
    <row r="32" spans="1:8" ht="31.5" x14ac:dyDescent="0.25">
      <c r="A32" s="64"/>
      <c r="B32" s="66" t="s">
        <v>174</v>
      </c>
      <c r="C32" s="3">
        <v>2</v>
      </c>
      <c r="D32" s="3"/>
      <c r="E32" s="4">
        <v>1943981</v>
      </c>
      <c r="F32" s="4">
        <f t="shared" ref="F32:F41" si="5">C32*E32</f>
        <v>3887962</v>
      </c>
      <c r="G32" s="67">
        <f t="shared" si="3"/>
        <v>0</v>
      </c>
      <c r="H32" s="68">
        <f t="shared" si="4"/>
        <v>0</v>
      </c>
    </row>
    <row r="33" spans="1:8" ht="31.5" x14ac:dyDescent="0.25">
      <c r="A33" s="64"/>
      <c r="B33" s="66" t="s">
        <v>28</v>
      </c>
      <c r="C33" s="3">
        <v>8</v>
      </c>
      <c r="D33" s="3">
        <v>8</v>
      </c>
      <c r="E33" s="4">
        <v>265457</v>
      </c>
      <c r="F33" s="4">
        <f>C33*E33</f>
        <v>2123656</v>
      </c>
      <c r="G33" s="67">
        <f t="shared" si="3"/>
        <v>2123656</v>
      </c>
      <c r="H33" s="68">
        <f t="shared" si="4"/>
        <v>1</v>
      </c>
    </row>
    <row r="34" spans="1:8" x14ac:dyDescent="0.25">
      <c r="A34" s="64"/>
      <c r="B34" s="2" t="s">
        <v>29</v>
      </c>
      <c r="C34" s="3">
        <v>3</v>
      </c>
      <c r="D34" s="3">
        <v>3</v>
      </c>
      <c r="E34" s="4">
        <v>1046759</v>
      </c>
      <c r="F34" s="4">
        <f t="shared" si="5"/>
        <v>3140277</v>
      </c>
      <c r="G34" s="67">
        <f t="shared" si="3"/>
        <v>3140277</v>
      </c>
      <c r="H34" s="68">
        <f t="shared" si="4"/>
        <v>1</v>
      </c>
    </row>
    <row r="35" spans="1:8" ht="31.5" x14ac:dyDescent="0.25">
      <c r="A35" s="64"/>
      <c r="B35" s="66" t="s">
        <v>30</v>
      </c>
      <c r="C35" s="3">
        <v>1</v>
      </c>
      <c r="D35" s="3">
        <v>1</v>
      </c>
      <c r="E35" s="4">
        <v>2213148</v>
      </c>
      <c r="F35" s="4">
        <f t="shared" si="5"/>
        <v>2213148</v>
      </c>
      <c r="G35" s="67">
        <f t="shared" si="3"/>
        <v>2213148</v>
      </c>
      <c r="H35" s="68">
        <f t="shared" si="4"/>
        <v>1</v>
      </c>
    </row>
    <row r="36" spans="1:8" ht="47.25" x14ac:dyDescent="0.25">
      <c r="A36" s="64"/>
      <c r="B36" s="66" t="s">
        <v>31</v>
      </c>
      <c r="C36" s="3">
        <v>1</v>
      </c>
      <c r="D36" s="3">
        <v>1</v>
      </c>
      <c r="E36" s="4">
        <v>2990741</v>
      </c>
      <c r="F36" s="4">
        <f t="shared" si="5"/>
        <v>2990741</v>
      </c>
      <c r="G36" s="67">
        <f t="shared" si="3"/>
        <v>2990741</v>
      </c>
      <c r="H36" s="68">
        <f t="shared" si="4"/>
        <v>1</v>
      </c>
    </row>
    <row r="37" spans="1:8" ht="31.5" x14ac:dyDescent="0.25">
      <c r="A37" s="64"/>
      <c r="B37" s="66" t="s">
        <v>32</v>
      </c>
      <c r="C37" s="3">
        <v>1</v>
      </c>
      <c r="D37" s="3">
        <v>1</v>
      </c>
      <c r="E37" s="4">
        <v>2762963</v>
      </c>
      <c r="F37" s="4">
        <f t="shared" si="5"/>
        <v>2762963</v>
      </c>
      <c r="G37" s="67">
        <f t="shared" si="3"/>
        <v>2762963</v>
      </c>
      <c r="H37" s="68">
        <f t="shared" si="4"/>
        <v>1</v>
      </c>
    </row>
    <row r="38" spans="1:8" ht="31.5" x14ac:dyDescent="0.25">
      <c r="A38" s="64"/>
      <c r="B38" s="66" t="s">
        <v>33</v>
      </c>
      <c r="C38" s="3">
        <v>1</v>
      </c>
      <c r="D38" s="3">
        <v>1</v>
      </c>
      <c r="E38" s="4">
        <v>2063611</v>
      </c>
      <c r="F38" s="4">
        <f t="shared" si="5"/>
        <v>2063611</v>
      </c>
      <c r="G38" s="67">
        <f t="shared" si="3"/>
        <v>2063611</v>
      </c>
      <c r="H38" s="68">
        <f t="shared" si="4"/>
        <v>1</v>
      </c>
    </row>
    <row r="39" spans="1:8" x14ac:dyDescent="0.25">
      <c r="A39" s="64"/>
      <c r="B39" s="2" t="s">
        <v>34</v>
      </c>
      <c r="C39" s="3">
        <v>2</v>
      </c>
      <c r="D39" s="3">
        <v>2</v>
      </c>
      <c r="E39" s="4">
        <v>1088630</v>
      </c>
      <c r="F39" s="4">
        <f t="shared" si="5"/>
        <v>2177260</v>
      </c>
      <c r="G39" s="67">
        <f t="shared" si="3"/>
        <v>2177260</v>
      </c>
      <c r="H39" s="68">
        <f t="shared" si="4"/>
        <v>1</v>
      </c>
    </row>
    <row r="40" spans="1:8" x14ac:dyDescent="0.25">
      <c r="A40" s="64"/>
      <c r="B40" s="2" t="s">
        <v>35</v>
      </c>
      <c r="C40" s="3">
        <v>2</v>
      </c>
      <c r="D40" s="3">
        <v>2</v>
      </c>
      <c r="E40" s="4">
        <v>508426</v>
      </c>
      <c r="F40" s="4">
        <f t="shared" si="5"/>
        <v>1016852</v>
      </c>
      <c r="G40" s="67">
        <f t="shared" si="3"/>
        <v>1016852</v>
      </c>
      <c r="H40" s="68">
        <f t="shared" si="4"/>
        <v>1</v>
      </c>
    </row>
    <row r="41" spans="1:8" x14ac:dyDescent="0.25">
      <c r="A41" s="64"/>
      <c r="B41" s="2" t="s">
        <v>36</v>
      </c>
      <c r="C41" s="3">
        <v>2</v>
      </c>
      <c r="D41" s="3">
        <v>2</v>
      </c>
      <c r="E41" s="4">
        <v>2930926</v>
      </c>
      <c r="F41" s="4">
        <f t="shared" si="5"/>
        <v>5861852</v>
      </c>
      <c r="G41" s="67">
        <f t="shared" si="3"/>
        <v>5861852</v>
      </c>
      <c r="H41" s="68">
        <f t="shared" si="4"/>
        <v>1</v>
      </c>
    </row>
    <row r="42" spans="1:8" ht="16.5" x14ac:dyDescent="0.25">
      <c r="A42" s="64"/>
      <c r="B42" s="388" t="s">
        <v>37</v>
      </c>
      <c r="C42" s="388"/>
      <c r="D42" s="388"/>
      <c r="E42" s="388"/>
      <c r="F42" s="69">
        <f>SUM(F31:F41)</f>
        <v>29285081</v>
      </c>
      <c r="G42" s="70">
        <f>SUM(G31:G41)</f>
        <v>25397119</v>
      </c>
      <c r="H42" s="71">
        <f>G42/F42</f>
        <v>0.86723745104205108</v>
      </c>
    </row>
    <row r="43" spans="1:8" x14ac:dyDescent="0.25">
      <c r="A43" s="64"/>
      <c r="B43" s="2"/>
      <c r="C43" s="3"/>
      <c r="D43" s="3"/>
      <c r="E43" s="4"/>
      <c r="F43" s="4"/>
      <c r="G43" s="2"/>
      <c r="H43" s="65"/>
    </row>
    <row r="44" spans="1:8" x14ac:dyDescent="0.25">
      <c r="A44" s="64"/>
      <c r="B44" s="388" t="s">
        <v>38</v>
      </c>
      <c r="C44" s="388"/>
      <c r="D44" s="388"/>
      <c r="E44" s="388"/>
      <c r="F44" s="388"/>
      <c r="G44" s="388"/>
      <c r="H44" s="65"/>
    </row>
    <row r="45" spans="1:8" x14ac:dyDescent="0.25">
      <c r="A45" s="64"/>
      <c r="B45" s="2" t="s">
        <v>39</v>
      </c>
      <c r="C45" s="3"/>
      <c r="D45" s="3"/>
      <c r="E45" s="4"/>
      <c r="F45" s="4"/>
      <c r="G45" s="2"/>
      <c r="H45" s="65"/>
    </row>
    <row r="46" spans="1:8" x14ac:dyDescent="0.25">
      <c r="A46" s="64"/>
      <c r="B46" s="2" t="s">
        <v>40</v>
      </c>
      <c r="C46" s="3">
        <v>1</v>
      </c>
      <c r="D46" s="3">
        <v>1</v>
      </c>
      <c r="E46" s="4">
        <v>1196296</v>
      </c>
      <c r="F46" s="4">
        <f>C46*E46</f>
        <v>1196296</v>
      </c>
      <c r="G46" s="67">
        <f>D46*E46</f>
        <v>1196296</v>
      </c>
      <c r="H46" s="68">
        <f>G46/F46</f>
        <v>1</v>
      </c>
    </row>
    <row r="47" spans="1:8" x14ac:dyDescent="0.25">
      <c r="A47" s="64"/>
      <c r="B47" s="2" t="s">
        <v>41</v>
      </c>
      <c r="C47" s="3">
        <v>1</v>
      </c>
      <c r="D47" s="3">
        <v>1</v>
      </c>
      <c r="E47" s="4">
        <v>598148</v>
      </c>
      <c r="F47" s="4">
        <f>C47*E47</f>
        <v>598148</v>
      </c>
      <c r="G47" s="67">
        <f>D47*E47</f>
        <v>598148</v>
      </c>
      <c r="H47" s="68">
        <f>G47/F47</f>
        <v>1</v>
      </c>
    </row>
    <row r="48" spans="1:8" x14ac:dyDescent="0.25">
      <c r="A48" s="64"/>
      <c r="B48" s="2" t="s">
        <v>42</v>
      </c>
      <c r="C48" s="3">
        <v>1</v>
      </c>
      <c r="D48" s="3">
        <v>1</v>
      </c>
      <c r="E48" s="4">
        <v>598148</v>
      </c>
      <c r="F48" s="4">
        <f>C48*E48</f>
        <v>598148</v>
      </c>
      <c r="G48" s="67">
        <f>D48*E48</f>
        <v>598148</v>
      </c>
      <c r="H48" s="68">
        <f>G48/F48</f>
        <v>1</v>
      </c>
    </row>
    <row r="49" spans="1:8" ht="16.5" x14ac:dyDescent="0.25">
      <c r="A49" s="64"/>
      <c r="B49" s="388" t="s">
        <v>43</v>
      </c>
      <c r="C49" s="388"/>
      <c r="D49" s="388"/>
      <c r="E49" s="388"/>
      <c r="F49" s="69">
        <f>SUM(F46:F48)</f>
        <v>2392592</v>
      </c>
      <c r="G49" s="70">
        <f>SUM(G46:G48)</f>
        <v>2392592</v>
      </c>
      <c r="H49" s="71">
        <f>G49/F49</f>
        <v>1</v>
      </c>
    </row>
    <row r="50" spans="1:8" x14ac:dyDescent="0.25">
      <c r="A50" s="64"/>
      <c r="B50" s="1" t="s">
        <v>44</v>
      </c>
      <c r="C50" s="3"/>
      <c r="D50" s="3"/>
      <c r="E50" s="4"/>
      <c r="F50" s="4"/>
      <c r="G50" s="2"/>
      <c r="H50" s="65"/>
    </row>
    <row r="51" spans="1:8" x14ac:dyDescent="0.25">
      <c r="A51" s="64"/>
      <c r="B51" s="1" t="s">
        <v>92</v>
      </c>
      <c r="C51" s="3"/>
      <c r="D51" s="3"/>
      <c r="E51" s="4"/>
      <c r="F51" s="4"/>
      <c r="G51" s="2"/>
      <c r="H51" s="65"/>
    </row>
    <row r="52" spans="1:8" x14ac:dyDescent="0.25">
      <c r="A52" s="64"/>
      <c r="B52" s="2" t="s">
        <v>45</v>
      </c>
      <c r="C52" s="3">
        <v>12</v>
      </c>
      <c r="D52" s="3">
        <v>12</v>
      </c>
      <c r="E52" s="4">
        <v>89722</v>
      </c>
      <c r="F52" s="4">
        <f>C52*E52</f>
        <v>1076664</v>
      </c>
      <c r="G52" s="67">
        <f>D52*E52</f>
        <v>1076664</v>
      </c>
      <c r="H52" s="68">
        <f t="shared" ref="H52:H57" si="6">G52/F52</f>
        <v>1</v>
      </c>
    </row>
    <row r="53" spans="1:8" x14ac:dyDescent="0.25">
      <c r="A53" s="64"/>
      <c r="B53" s="125" t="s">
        <v>46</v>
      </c>
      <c r="C53" s="3">
        <v>3</v>
      </c>
      <c r="D53" s="3"/>
      <c r="E53" s="4">
        <v>119630</v>
      </c>
      <c r="F53" s="4">
        <f>C53*E53</f>
        <v>358890</v>
      </c>
      <c r="G53" s="67">
        <f>D53*E53</f>
        <v>0</v>
      </c>
      <c r="H53" s="68">
        <f t="shared" si="6"/>
        <v>0</v>
      </c>
    </row>
    <row r="54" spans="1:8" x14ac:dyDescent="0.25">
      <c r="A54" s="64"/>
      <c r="B54" s="2" t="s">
        <v>47</v>
      </c>
      <c r="C54" s="3">
        <v>2</v>
      </c>
      <c r="D54" s="3">
        <v>2</v>
      </c>
      <c r="E54" s="4">
        <v>193800</v>
      </c>
      <c r="F54" s="4">
        <f>C54*E54</f>
        <v>387600</v>
      </c>
      <c r="G54" s="67">
        <f>D54*E54</f>
        <v>387600</v>
      </c>
      <c r="H54" s="68">
        <f t="shared" si="6"/>
        <v>1</v>
      </c>
    </row>
    <row r="55" spans="1:8" x14ac:dyDescent="0.25">
      <c r="A55" s="64"/>
      <c r="B55" s="2" t="s">
        <v>185</v>
      </c>
      <c r="C55" s="3">
        <v>3</v>
      </c>
      <c r="D55" s="3">
        <v>3</v>
      </c>
      <c r="E55" s="4">
        <v>119630</v>
      </c>
      <c r="F55" s="4">
        <f>C55*E55</f>
        <v>358890</v>
      </c>
      <c r="G55" s="67">
        <f>D55*E55</f>
        <v>358890</v>
      </c>
      <c r="H55" s="68">
        <f t="shared" si="6"/>
        <v>1</v>
      </c>
    </row>
    <row r="56" spans="1:8" x14ac:dyDescent="0.25">
      <c r="A56" s="64"/>
      <c r="B56" s="2" t="s">
        <v>186</v>
      </c>
      <c r="C56" s="3">
        <v>2</v>
      </c>
      <c r="D56" s="3">
        <v>2</v>
      </c>
      <c r="E56" s="4">
        <v>209352</v>
      </c>
      <c r="F56" s="4">
        <f>C56*E56</f>
        <v>418704</v>
      </c>
      <c r="G56" s="67">
        <f>D56*E56</f>
        <v>418704</v>
      </c>
      <c r="H56" s="68">
        <f t="shared" si="6"/>
        <v>1</v>
      </c>
    </row>
    <row r="57" spans="1:8" ht="16.5" x14ac:dyDescent="0.25">
      <c r="A57" s="64"/>
      <c r="B57" s="388" t="s">
        <v>50</v>
      </c>
      <c r="C57" s="388"/>
      <c r="D57" s="388"/>
      <c r="E57" s="388"/>
      <c r="F57" s="69">
        <f>SUM(F52:F56)</f>
        <v>2600748</v>
      </c>
      <c r="G57" s="70">
        <f>SUM(G52:G56)</f>
        <v>2241858</v>
      </c>
      <c r="H57" s="71">
        <f t="shared" si="6"/>
        <v>0.86200508469101966</v>
      </c>
    </row>
    <row r="58" spans="1:8" x14ac:dyDescent="0.25">
      <c r="A58" s="64"/>
      <c r="B58" s="1" t="s">
        <v>51</v>
      </c>
      <c r="C58" s="3"/>
      <c r="D58" s="3"/>
      <c r="E58" s="4"/>
      <c r="F58" s="4"/>
      <c r="G58" s="2"/>
      <c r="H58" s="65"/>
    </row>
    <row r="59" spans="1:8" x14ac:dyDescent="0.25">
      <c r="A59" s="64"/>
      <c r="B59" s="2" t="s">
        <v>52</v>
      </c>
      <c r="C59" s="3">
        <v>2</v>
      </c>
      <c r="D59" s="3">
        <v>2</v>
      </c>
      <c r="E59" s="4">
        <v>412722</v>
      </c>
      <c r="F59" s="4">
        <f>C59*E59</f>
        <v>825444</v>
      </c>
      <c r="G59" s="67">
        <f>D59*E59</f>
        <v>825444</v>
      </c>
      <c r="H59" s="68">
        <f t="shared" ref="H59:H64" si="7">G59/F59</f>
        <v>1</v>
      </c>
    </row>
    <row r="60" spans="1:8" x14ac:dyDescent="0.25">
      <c r="A60" s="64"/>
      <c r="B60" s="2" t="s">
        <v>53</v>
      </c>
      <c r="C60" s="3">
        <v>1</v>
      </c>
      <c r="D60" s="3">
        <v>1</v>
      </c>
      <c r="E60" s="4">
        <v>583793</v>
      </c>
      <c r="F60" s="4">
        <f>C60*E60</f>
        <v>583793</v>
      </c>
      <c r="G60" s="67">
        <f>D60*E60</f>
        <v>583793</v>
      </c>
      <c r="H60" s="68">
        <f t="shared" si="7"/>
        <v>1</v>
      </c>
    </row>
    <row r="61" spans="1:8" x14ac:dyDescent="0.25">
      <c r="A61" s="64"/>
      <c r="B61" s="2" t="s">
        <v>54</v>
      </c>
      <c r="C61" s="3">
        <v>10</v>
      </c>
      <c r="D61" s="3">
        <v>10</v>
      </c>
      <c r="E61" s="4">
        <v>67083</v>
      </c>
      <c r="F61" s="4">
        <f>C61*E61</f>
        <v>670830</v>
      </c>
      <c r="G61" s="67">
        <f>D61*E61</f>
        <v>670830</v>
      </c>
      <c r="H61" s="68">
        <f t="shared" si="7"/>
        <v>1</v>
      </c>
    </row>
    <row r="62" spans="1:8" x14ac:dyDescent="0.25">
      <c r="A62" s="64"/>
      <c r="B62" s="2" t="s">
        <v>55</v>
      </c>
      <c r="C62" s="3">
        <v>8</v>
      </c>
      <c r="D62" s="3">
        <v>8</v>
      </c>
      <c r="E62" s="4">
        <v>78333</v>
      </c>
      <c r="F62" s="4">
        <f>C62*E62</f>
        <v>626664</v>
      </c>
      <c r="G62" s="67">
        <f>D62*E62</f>
        <v>626664</v>
      </c>
      <c r="H62" s="68">
        <f t="shared" si="7"/>
        <v>1</v>
      </c>
    </row>
    <row r="63" spans="1:8" x14ac:dyDescent="0.25">
      <c r="A63" s="64"/>
      <c r="B63" s="2" t="s">
        <v>56</v>
      </c>
      <c r="C63" s="3">
        <v>1</v>
      </c>
      <c r="D63" s="3">
        <v>1</v>
      </c>
      <c r="E63" s="4">
        <v>6447074</v>
      </c>
      <c r="F63" s="4">
        <f>C63*E63</f>
        <v>6447074</v>
      </c>
      <c r="G63" s="67">
        <f>D63*E63</f>
        <v>6447074</v>
      </c>
      <c r="H63" s="68">
        <f t="shared" si="7"/>
        <v>1</v>
      </c>
    </row>
    <row r="64" spans="1:8" ht="16.5" x14ac:dyDescent="0.25">
      <c r="A64" s="64"/>
      <c r="B64" s="388" t="s">
        <v>57</v>
      </c>
      <c r="C64" s="388"/>
      <c r="D64" s="388"/>
      <c r="E64" s="388"/>
      <c r="F64" s="69">
        <f>SUM(F59:F63)</f>
        <v>9153805</v>
      </c>
      <c r="G64" s="70">
        <f>SUM(G59:G63)</f>
        <v>9153805</v>
      </c>
      <c r="H64" s="71">
        <f t="shared" si="7"/>
        <v>1</v>
      </c>
    </row>
    <row r="65" spans="1:8" x14ac:dyDescent="0.25">
      <c r="A65" s="64"/>
      <c r="B65" s="1" t="s">
        <v>175</v>
      </c>
      <c r="C65" s="3"/>
      <c r="D65" s="3"/>
      <c r="E65" s="4"/>
      <c r="F65" s="4"/>
      <c r="G65" s="2"/>
      <c r="H65" s="65"/>
    </row>
    <row r="66" spans="1:8" x14ac:dyDescent="0.25">
      <c r="A66" s="64"/>
      <c r="B66" s="125" t="s">
        <v>165</v>
      </c>
      <c r="C66" s="3">
        <v>16</v>
      </c>
      <c r="D66" s="3"/>
      <c r="E66" s="4">
        <v>74170</v>
      </c>
      <c r="F66" s="4">
        <f>C66*E66</f>
        <v>1186720</v>
      </c>
      <c r="G66" s="67">
        <f>D66*E66</f>
        <v>0</v>
      </c>
      <c r="H66" s="68">
        <f>G66/F66</f>
        <v>0</v>
      </c>
    </row>
    <row r="67" spans="1:8" x14ac:dyDescent="0.25">
      <c r="A67" s="64"/>
      <c r="B67" s="2" t="s">
        <v>58</v>
      </c>
      <c r="C67" s="3">
        <v>6</v>
      </c>
      <c r="D67" s="3">
        <v>6</v>
      </c>
      <c r="E67" s="4">
        <v>227296</v>
      </c>
      <c r="F67" s="4">
        <f>C67*E67</f>
        <v>1363776</v>
      </c>
      <c r="G67" s="67">
        <f>D67*E67</f>
        <v>1363776</v>
      </c>
      <c r="H67" s="68">
        <f>G67/F67</f>
        <v>1</v>
      </c>
    </row>
    <row r="68" spans="1:8" ht="16.5" x14ac:dyDescent="0.25">
      <c r="A68" s="64"/>
      <c r="B68" s="1" t="s">
        <v>59</v>
      </c>
      <c r="C68" s="3"/>
      <c r="D68" s="3"/>
      <c r="E68" s="4"/>
      <c r="F68" s="69">
        <f>SUM(F66:F67)</f>
        <v>2550496</v>
      </c>
      <c r="G68" s="70">
        <f>SUM(G66:G67)</f>
        <v>1363776</v>
      </c>
      <c r="H68" s="71">
        <f>G68/F68</f>
        <v>0.53471011128815726</v>
      </c>
    </row>
    <row r="69" spans="1:8" x14ac:dyDescent="0.25">
      <c r="A69" s="64"/>
      <c r="B69" s="1" t="s">
        <v>60</v>
      </c>
      <c r="C69" s="3"/>
      <c r="D69" s="3"/>
      <c r="E69" s="4"/>
      <c r="F69" s="4"/>
      <c r="G69" s="2"/>
      <c r="H69" s="65"/>
    </row>
    <row r="70" spans="1:8" x14ac:dyDescent="0.25">
      <c r="A70" s="64"/>
      <c r="B70" s="2" t="s">
        <v>166</v>
      </c>
      <c r="C70" s="3">
        <v>6</v>
      </c>
      <c r="D70" s="3">
        <v>6</v>
      </c>
      <c r="E70" s="4">
        <v>133656</v>
      </c>
      <c r="F70" s="4">
        <f>C70*E70</f>
        <v>801936</v>
      </c>
      <c r="G70" s="67">
        <f>D70*E70</f>
        <v>801936</v>
      </c>
      <c r="H70" s="68">
        <f>G70/F70</f>
        <v>1</v>
      </c>
    </row>
    <row r="71" spans="1:8" x14ac:dyDescent="0.25">
      <c r="A71" s="64"/>
      <c r="B71" s="5" t="s">
        <v>61</v>
      </c>
      <c r="C71" s="3">
        <v>2</v>
      </c>
      <c r="D71" s="3">
        <v>2</v>
      </c>
      <c r="E71" s="4">
        <v>466556</v>
      </c>
      <c r="F71" s="4">
        <f>C71*E71</f>
        <v>933112</v>
      </c>
      <c r="G71" s="67">
        <f>D71*E71</f>
        <v>933112</v>
      </c>
      <c r="H71" s="68">
        <f>G71/F71</f>
        <v>1</v>
      </c>
    </row>
    <row r="72" spans="1:8" ht="16.5" x14ac:dyDescent="0.25">
      <c r="A72" s="64"/>
      <c r="B72" s="73" t="s">
        <v>62</v>
      </c>
      <c r="C72" s="3"/>
      <c r="D72" s="3"/>
      <c r="E72" s="4"/>
      <c r="F72" s="69">
        <f>SUM(F70:F71)</f>
        <v>1735048</v>
      </c>
      <c r="G72" s="70">
        <f>SUM(G70:G71)</f>
        <v>1735048</v>
      </c>
      <c r="H72" s="71">
        <f>G72/F72</f>
        <v>1</v>
      </c>
    </row>
    <row r="73" spans="1:8" x14ac:dyDescent="0.25">
      <c r="A73" s="64"/>
      <c r="B73" s="73" t="s">
        <v>63</v>
      </c>
      <c r="C73" s="3"/>
      <c r="D73" s="3"/>
      <c r="E73" s="4"/>
      <c r="F73" s="4"/>
      <c r="G73" s="2"/>
      <c r="H73" s="65"/>
    </row>
    <row r="74" spans="1:8" x14ac:dyDescent="0.25">
      <c r="A74" s="64"/>
      <c r="B74" s="5" t="s">
        <v>95</v>
      </c>
      <c r="C74" s="3">
        <v>3</v>
      </c>
      <c r="D74" s="3">
        <v>3</v>
      </c>
      <c r="E74" s="4">
        <v>171070</v>
      </c>
      <c r="F74" s="4">
        <f>C74*E74</f>
        <v>513210</v>
      </c>
      <c r="G74" s="67">
        <f>D74*E74</f>
        <v>513210</v>
      </c>
      <c r="H74" s="68">
        <f t="shared" ref="H74:H80" si="8">G74/F74</f>
        <v>1</v>
      </c>
    </row>
    <row r="75" spans="1:8" x14ac:dyDescent="0.25">
      <c r="A75" s="64"/>
      <c r="B75" s="123" t="s">
        <v>154</v>
      </c>
      <c r="C75" s="3">
        <v>1</v>
      </c>
      <c r="D75" s="3">
        <v>1</v>
      </c>
      <c r="E75" s="4">
        <v>215333</v>
      </c>
      <c r="F75" s="4">
        <f>C75*E75</f>
        <v>215333</v>
      </c>
      <c r="G75" s="67">
        <f>D75*E75</f>
        <v>215333</v>
      </c>
      <c r="H75" s="68">
        <f t="shared" si="8"/>
        <v>1</v>
      </c>
    </row>
    <row r="76" spans="1:8" x14ac:dyDescent="0.25">
      <c r="A76" s="64"/>
      <c r="B76" s="124" t="s">
        <v>64</v>
      </c>
      <c r="C76" s="3">
        <v>40</v>
      </c>
      <c r="D76" s="3">
        <v>40</v>
      </c>
      <c r="E76" s="4">
        <v>35291</v>
      </c>
      <c r="F76" s="4">
        <f>C76*E76</f>
        <v>1411640</v>
      </c>
      <c r="G76" s="67">
        <f>D76*E76</f>
        <v>1411640</v>
      </c>
      <c r="H76" s="68">
        <f t="shared" si="8"/>
        <v>1</v>
      </c>
    </row>
    <row r="77" spans="1:8" x14ac:dyDescent="0.25">
      <c r="A77" s="64"/>
      <c r="B77" s="123" t="s">
        <v>96</v>
      </c>
      <c r="C77" s="3">
        <v>50</v>
      </c>
      <c r="D77" s="3">
        <v>50</v>
      </c>
      <c r="E77" s="4">
        <v>23926</v>
      </c>
      <c r="F77" s="4">
        <f>C77*E77</f>
        <v>1196300</v>
      </c>
      <c r="G77" s="67">
        <f>D77*E77</f>
        <v>1196300</v>
      </c>
      <c r="H77" s="68">
        <f t="shared" si="8"/>
        <v>1</v>
      </c>
    </row>
    <row r="78" spans="1:8" x14ac:dyDescent="0.25">
      <c r="A78" s="64"/>
      <c r="B78" s="5" t="s">
        <v>65</v>
      </c>
      <c r="C78" s="3">
        <v>18</v>
      </c>
      <c r="D78" s="3">
        <v>18</v>
      </c>
      <c r="E78" s="4">
        <v>118433</v>
      </c>
      <c r="F78" s="4">
        <f>C78*E78</f>
        <v>2131794</v>
      </c>
      <c r="G78" s="67">
        <f>D78*E78</f>
        <v>2131794</v>
      </c>
      <c r="H78" s="68">
        <f t="shared" si="8"/>
        <v>1</v>
      </c>
    </row>
    <row r="79" spans="1:8" ht="16.5" x14ac:dyDescent="0.25">
      <c r="A79" s="64"/>
      <c r="B79" s="73" t="s">
        <v>66</v>
      </c>
      <c r="C79" s="3"/>
      <c r="D79" s="3"/>
      <c r="E79" s="4"/>
      <c r="F79" s="69">
        <f>SUM(F74:F78)</f>
        <v>5468277</v>
      </c>
      <c r="G79" s="70">
        <f>SUM(G74:G78)</f>
        <v>5468277</v>
      </c>
      <c r="H79" s="71">
        <f t="shared" si="8"/>
        <v>1</v>
      </c>
    </row>
    <row r="80" spans="1:8" x14ac:dyDescent="0.25">
      <c r="A80" s="64"/>
      <c r="B80" s="388" t="s">
        <v>67</v>
      </c>
      <c r="C80" s="388"/>
      <c r="D80" s="388"/>
      <c r="E80" s="388"/>
      <c r="F80" s="69">
        <f>F57+F64+F68+F72+F79</f>
        <v>21508374</v>
      </c>
      <c r="G80" s="114">
        <f>G79+G72+G68+G64+G57</f>
        <v>19962764</v>
      </c>
      <c r="H80" s="115">
        <f t="shared" si="8"/>
        <v>0.92813915175549766</v>
      </c>
    </row>
    <row r="81" spans="1:11" x14ac:dyDescent="0.25">
      <c r="A81" s="64"/>
      <c r="B81" s="2"/>
      <c r="C81" s="3"/>
      <c r="D81" s="3"/>
      <c r="E81" s="4"/>
      <c r="F81" s="4"/>
      <c r="G81" s="2"/>
      <c r="H81" s="65"/>
    </row>
    <row r="82" spans="1:11" x14ac:dyDescent="0.25">
      <c r="A82" s="64"/>
      <c r="B82" s="388" t="s">
        <v>68</v>
      </c>
      <c r="C82" s="388"/>
      <c r="D82" s="388"/>
      <c r="E82" s="388"/>
      <c r="F82" s="4"/>
      <c r="G82" s="2"/>
      <c r="H82" s="65"/>
    </row>
    <row r="83" spans="1:11" x14ac:dyDescent="0.25">
      <c r="A83" s="64"/>
      <c r="B83" s="2" t="s">
        <v>69</v>
      </c>
      <c r="C83" s="3">
        <v>12</v>
      </c>
      <c r="D83" s="3">
        <v>12</v>
      </c>
      <c r="E83" s="4">
        <v>95704</v>
      </c>
      <c r="F83" s="4">
        <f>C83*E83</f>
        <v>1148448</v>
      </c>
      <c r="G83" s="67">
        <f>D83*E83</f>
        <v>1148448</v>
      </c>
      <c r="H83" s="68">
        <f>G83/F83</f>
        <v>1</v>
      </c>
    </row>
    <row r="84" spans="1:11" x14ac:dyDescent="0.25">
      <c r="A84" s="64"/>
      <c r="B84" s="2" t="s">
        <v>172</v>
      </c>
      <c r="C84" s="3">
        <v>36</v>
      </c>
      <c r="D84" s="3">
        <v>36</v>
      </c>
      <c r="E84" s="4">
        <v>47852</v>
      </c>
      <c r="F84" s="4">
        <f>C84*E84</f>
        <v>1722672</v>
      </c>
      <c r="G84" s="67">
        <f>D84*E84</f>
        <v>1722672</v>
      </c>
      <c r="H84" s="68">
        <f>G84/F84</f>
        <v>1</v>
      </c>
    </row>
    <row r="85" spans="1:11" x14ac:dyDescent="0.25">
      <c r="A85" s="64"/>
      <c r="B85" s="388" t="s">
        <v>70</v>
      </c>
      <c r="C85" s="388"/>
      <c r="D85" s="388"/>
      <c r="E85" s="388"/>
      <c r="F85" s="69">
        <f>SUM(F83:F84)</f>
        <v>2871120</v>
      </c>
      <c r="G85" s="67">
        <f>SUM(G83:G84)</f>
        <v>2871120</v>
      </c>
      <c r="H85" s="68">
        <f>G85/F85</f>
        <v>1</v>
      </c>
    </row>
    <row r="86" spans="1:11" ht="16.5" x14ac:dyDescent="0.25">
      <c r="A86" s="64"/>
      <c r="B86" s="1" t="s">
        <v>99</v>
      </c>
      <c r="C86" s="3"/>
      <c r="D86" s="3"/>
      <c r="E86" s="4"/>
      <c r="F86" s="74">
        <f>F28+F42+F49+F80+F85</f>
        <v>161577077</v>
      </c>
      <c r="G86" s="114">
        <f>G85+G80+G49+G42+G28</f>
        <v>128050880</v>
      </c>
      <c r="H86" s="65"/>
    </row>
    <row r="87" spans="1:11" x14ac:dyDescent="0.25">
      <c r="A87" s="64"/>
      <c r="B87" s="2" t="s">
        <v>167</v>
      </c>
      <c r="C87" s="3"/>
      <c r="D87" s="3"/>
      <c r="E87" s="4"/>
      <c r="F87" s="4">
        <f>F86*0.35</f>
        <v>56551976.949999996</v>
      </c>
      <c r="G87" s="114">
        <f>G86*0.35</f>
        <v>44817808</v>
      </c>
      <c r="H87" s="65"/>
      <c r="K87" s="102"/>
    </row>
    <row r="88" spans="1:11" x14ac:dyDescent="0.25">
      <c r="A88" s="64"/>
      <c r="B88" s="1" t="s">
        <v>98</v>
      </c>
      <c r="C88" s="3"/>
      <c r="D88" s="3"/>
      <c r="E88" s="4"/>
      <c r="F88" s="4"/>
      <c r="G88" s="2"/>
      <c r="H88" s="65"/>
    </row>
    <row r="89" spans="1:11" ht="47.25" x14ac:dyDescent="0.25">
      <c r="A89" s="64"/>
      <c r="B89" s="66" t="s">
        <v>71</v>
      </c>
      <c r="C89" s="3">
        <v>1</v>
      </c>
      <c r="D89" s="3">
        <v>1</v>
      </c>
      <c r="E89" s="4">
        <v>2924789</v>
      </c>
      <c r="F89" s="4">
        <f>C89*E89</f>
        <v>2924789</v>
      </c>
      <c r="G89" s="114">
        <f>E89*D89</f>
        <v>2924789</v>
      </c>
      <c r="H89" s="115">
        <f t="shared" ref="H89:H95" si="9">G89/F89</f>
        <v>1</v>
      </c>
      <c r="K89" s="102"/>
    </row>
    <row r="90" spans="1:11" ht="47.25" x14ac:dyDescent="0.25">
      <c r="A90" s="64"/>
      <c r="B90" s="66" t="s">
        <v>72</v>
      </c>
      <c r="C90" s="3">
        <v>1</v>
      </c>
      <c r="D90" s="3">
        <v>1</v>
      </c>
      <c r="E90" s="4">
        <v>3788875</v>
      </c>
      <c r="F90" s="4">
        <f>C90*E90</f>
        <v>3788875</v>
      </c>
      <c r="G90" s="114">
        <f>E90*D90</f>
        <v>3788875</v>
      </c>
      <c r="H90" s="115">
        <f t="shared" si="9"/>
        <v>1</v>
      </c>
    </row>
    <row r="91" spans="1:11" ht="31.5" x14ac:dyDescent="0.25">
      <c r="A91" s="64"/>
      <c r="B91" s="122" t="s">
        <v>73</v>
      </c>
      <c r="C91" s="3">
        <v>1</v>
      </c>
      <c r="D91" s="3">
        <v>0.5</v>
      </c>
      <c r="E91" s="4">
        <v>31423246</v>
      </c>
      <c r="F91" s="4">
        <f>C91*E91</f>
        <v>31423246</v>
      </c>
      <c r="G91" s="114">
        <f>E91*D91</f>
        <v>15711623</v>
      </c>
      <c r="H91" s="115">
        <f t="shared" si="9"/>
        <v>0.5</v>
      </c>
    </row>
    <row r="92" spans="1:11" ht="30" customHeight="1" x14ac:dyDescent="0.25">
      <c r="A92" s="64"/>
      <c r="B92" s="122" t="s">
        <v>74</v>
      </c>
      <c r="C92" s="3">
        <v>1</v>
      </c>
      <c r="D92" s="3"/>
      <c r="E92" s="4">
        <v>9326567</v>
      </c>
      <c r="F92" s="4">
        <f>C92*E92</f>
        <v>9326567</v>
      </c>
      <c r="G92" s="114">
        <f>E92*D92</f>
        <v>0</v>
      </c>
      <c r="H92" s="115">
        <f t="shared" si="9"/>
        <v>0</v>
      </c>
    </row>
    <row r="93" spans="1:11" ht="31.5" x14ac:dyDescent="0.25">
      <c r="A93" s="64"/>
      <c r="B93" s="75" t="s">
        <v>75</v>
      </c>
      <c r="C93" s="3">
        <v>1</v>
      </c>
      <c r="D93" s="3">
        <v>0.89</v>
      </c>
      <c r="E93" s="4">
        <v>9750000</v>
      </c>
      <c r="F93" s="4">
        <f>C93*E93</f>
        <v>9750000</v>
      </c>
      <c r="G93" s="114">
        <f>E93*D93</f>
        <v>8677500</v>
      </c>
      <c r="H93" s="116">
        <f t="shared" si="9"/>
        <v>0.89</v>
      </c>
    </row>
    <row r="94" spans="1:11" x14ac:dyDescent="0.25">
      <c r="A94" s="64"/>
      <c r="B94" s="388" t="s">
        <v>109</v>
      </c>
      <c r="C94" s="388"/>
      <c r="D94" s="388"/>
      <c r="E94" s="388"/>
      <c r="F94" s="69">
        <f>SUM(F89:F93)</f>
        <v>57213477</v>
      </c>
      <c r="G94" s="114">
        <f>SUM(G89:G93)</f>
        <v>31102787</v>
      </c>
      <c r="H94" s="115">
        <f t="shared" si="9"/>
        <v>0.54362693251451921</v>
      </c>
    </row>
    <row r="95" spans="1:11" x14ac:dyDescent="0.25">
      <c r="A95" s="64"/>
      <c r="B95" s="388" t="s">
        <v>76</v>
      </c>
      <c r="C95" s="388"/>
      <c r="D95" s="388"/>
      <c r="E95" s="388"/>
      <c r="F95" s="69">
        <f>F94*0.1925</f>
        <v>11013594.3225</v>
      </c>
      <c r="G95" s="117">
        <f>G94*19.25/100</f>
        <v>5987286.4974999996</v>
      </c>
      <c r="H95" s="115">
        <f t="shared" si="9"/>
        <v>0.54362693251451921</v>
      </c>
    </row>
    <row r="96" spans="1:11" ht="19.5" customHeight="1" x14ac:dyDescent="0.25">
      <c r="A96" s="389" t="s">
        <v>79</v>
      </c>
      <c r="B96" s="390"/>
      <c r="C96" s="390"/>
      <c r="D96" s="390"/>
      <c r="E96" s="391"/>
      <c r="F96" s="76">
        <f>F86+F94+F87</f>
        <v>275342530.94999999</v>
      </c>
      <c r="G96" s="76">
        <f>G86+G94+G87</f>
        <v>203971475</v>
      </c>
      <c r="H96" s="103">
        <f>G96/F96</f>
        <v>0.74079174872202946</v>
      </c>
    </row>
    <row r="97" spans="1:9" x14ac:dyDescent="0.25">
      <c r="A97" s="392" t="s">
        <v>80</v>
      </c>
      <c r="B97" s="393"/>
      <c r="C97" s="394" t="s">
        <v>81</v>
      </c>
      <c r="D97" s="395"/>
      <c r="E97" s="393"/>
      <c r="F97" s="77" t="s">
        <v>82</v>
      </c>
      <c r="G97" s="2"/>
      <c r="H97" s="65"/>
    </row>
    <row r="98" spans="1:9" x14ac:dyDescent="0.25">
      <c r="A98" s="380" t="s">
        <v>83</v>
      </c>
      <c r="B98" s="381"/>
      <c r="C98" s="382" t="s">
        <v>84</v>
      </c>
      <c r="D98" s="382"/>
      <c r="E98" s="382"/>
      <c r="F98" s="78"/>
      <c r="G98" s="79">
        <f>DATE(2013,4,30)</f>
        <v>41394</v>
      </c>
      <c r="H98" s="80">
        <f ca="1">TODAY()</f>
        <v>43780</v>
      </c>
    </row>
    <row r="99" spans="1:9" ht="31.5" x14ac:dyDescent="0.25">
      <c r="A99" s="373"/>
      <c r="B99" s="374"/>
      <c r="C99" s="81"/>
      <c r="D99" s="82"/>
      <c r="E99" s="81"/>
      <c r="F99" s="78"/>
      <c r="G99" s="83" t="s">
        <v>91</v>
      </c>
      <c r="H99" s="84">
        <f ca="1">NETWORKDAYS(G98,H98,5)</f>
        <v>1705</v>
      </c>
    </row>
    <row r="100" spans="1:9" ht="63" x14ac:dyDescent="0.25">
      <c r="A100" s="383" t="s">
        <v>85</v>
      </c>
      <c r="B100" s="384"/>
      <c r="C100" s="384"/>
      <c r="D100" s="384"/>
      <c r="E100" s="384"/>
      <c r="F100" s="78"/>
      <c r="G100" s="77" t="s">
        <v>86</v>
      </c>
      <c r="H100" s="85" t="s">
        <v>158</v>
      </c>
    </row>
    <row r="101" spans="1:9" x14ac:dyDescent="0.25">
      <c r="A101" s="385" t="s">
        <v>87</v>
      </c>
      <c r="B101" s="386"/>
      <c r="C101" s="387" t="s">
        <v>155</v>
      </c>
      <c r="D101" s="387"/>
      <c r="E101" s="387"/>
      <c r="F101" s="78"/>
      <c r="G101" s="86">
        <f ca="1">H99/H101</f>
        <v>9.4722222222222214</v>
      </c>
      <c r="H101" s="87">
        <v>180</v>
      </c>
    </row>
    <row r="102" spans="1:9" x14ac:dyDescent="0.25">
      <c r="A102" s="373"/>
      <c r="B102" s="374"/>
      <c r="C102" s="375">
        <f>K96</f>
        <v>0</v>
      </c>
      <c r="D102" s="375"/>
      <c r="E102" s="375"/>
      <c r="F102" s="78"/>
      <c r="G102" s="376" t="s">
        <v>156</v>
      </c>
      <c r="H102" s="377"/>
    </row>
    <row r="103" spans="1:9" x14ac:dyDescent="0.25">
      <c r="A103" s="88"/>
      <c r="B103" s="89"/>
      <c r="C103" s="89"/>
      <c r="D103" s="89"/>
      <c r="E103" s="78"/>
      <c r="F103" s="78"/>
      <c r="G103" s="378">
        <f ca="1">H101-H99</f>
        <v>-1525</v>
      </c>
      <c r="H103" s="379"/>
    </row>
    <row r="104" spans="1:9" ht="32.25" thickBot="1" x14ac:dyDescent="0.3">
      <c r="A104" s="90"/>
      <c r="B104" s="91"/>
      <c r="C104" s="92"/>
      <c r="D104" s="92"/>
      <c r="E104" s="93"/>
      <c r="F104" s="94"/>
      <c r="G104" s="95" t="s">
        <v>88</v>
      </c>
      <c r="H104" s="96" t="str">
        <f ca="1">IF(G103&gt;0,"pas de pénalité","dans les pénalités")</f>
        <v>dans les pénalités</v>
      </c>
    </row>
    <row r="105" spans="1:9" ht="16.5" thickTop="1" x14ac:dyDescent="0.25"/>
    <row r="107" spans="1:9" x14ac:dyDescent="0.25">
      <c r="G107" s="104"/>
      <c r="I107" s="104"/>
    </row>
    <row r="108" spans="1:9" x14ac:dyDescent="0.25">
      <c r="G108" s="234">
        <v>41394</v>
      </c>
      <c r="H108" s="235">
        <v>42496</v>
      </c>
    </row>
    <row r="109" spans="1:9" ht="31.5" x14ac:dyDescent="0.25">
      <c r="G109" s="236" t="s">
        <v>91</v>
      </c>
      <c r="H109" s="237">
        <f>NETWORKDAYS(G108,H108,5)</f>
        <v>789</v>
      </c>
    </row>
    <row r="110" spans="1:9" ht="63" x14ac:dyDescent="0.25">
      <c r="G110" s="238" t="s">
        <v>86</v>
      </c>
      <c r="H110" s="239" t="s">
        <v>158</v>
      </c>
    </row>
    <row r="111" spans="1:9" x14ac:dyDescent="0.25">
      <c r="G111" s="240">
        <f>H109/H111</f>
        <v>3.7571428571428571</v>
      </c>
      <c r="H111" s="241">
        <v>210</v>
      </c>
    </row>
    <row r="112" spans="1:9" x14ac:dyDescent="0.25">
      <c r="G112" s="396" t="s">
        <v>156</v>
      </c>
      <c r="H112" s="397"/>
    </row>
    <row r="113" spans="7:10" x14ac:dyDescent="0.25">
      <c r="G113" s="398">
        <f>H111-H109</f>
        <v>-579</v>
      </c>
      <c r="H113" s="399"/>
    </row>
    <row r="115" spans="7:10" x14ac:dyDescent="0.25">
      <c r="J115" s="102"/>
    </row>
  </sheetData>
  <mergeCells count="36">
    <mergeCell ref="G112:H112"/>
    <mergeCell ref="G113:H113"/>
    <mergeCell ref="B18:E18"/>
    <mergeCell ref="A1:E1"/>
    <mergeCell ref="G1:G2"/>
    <mergeCell ref="H1:H2"/>
    <mergeCell ref="A3:H3"/>
    <mergeCell ref="B4:G4"/>
    <mergeCell ref="B82:E82"/>
    <mergeCell ref="B19:G19"/>
    <mergeCell ref="B22:E22"/>
    <mergeCell ref="B23:G23"/>
    <mergeCell ref="B28:E28"/>
    <mergeCell ref="B30:G30"/>
    <mergeCell ref="B42:E42"/>
    <mergeCell ref="B44:G44"/>
    <mergeCell ref="B49:E49"/>
    <mergeCell ref="B57:E57"/>
    <mergeCell ref="B64:E64"/>
    <mergeCell ref="B80:E80"/>
    <mergeCell ref="B85:E85"/>
    <mergeCell ref="B94:E94"/>
    <mergeCell ref="B95:E95"/>
    <mergeCell ref="A96:E96"/>
    <mergeCell ref="A97:B97"/>
    <mergeCell ref="C97:E97"/>
    <mergeCell ref="A102:B102"/>
    <mergeCell ref="C102:E102"/>
    <mergeCell ref="G102:H102"/>
    <mergeCell ref="G103:H103"/>
    <mergeCell ref="A98:B98"/>
    <mergeCell ref="C98:E98"/>
    <mergeCell ref="A99:B99"/>
    <mergeCell ref="A100:E100"/>
    <mergeCell ref="A101:B101"/>
    <mergeCell ref="C101:E101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topLeftCell="A15" zoomScaleNormal="100" workbookViewId="0">
      <selection activeCell="J103" sqref="J103"/>
    </sheetView>
  </sheetViews>
  <sheetFormatPr baseColWidth="10" defaultRowHeight="15.75" x14ac:dyDescent="0.25"/>
  <cols>
    <col min="1" max="1" width="6.5703125" style="20" customWidth="1"/>
    <col min="2" max="2" width="23" style="20" customWidth="1"/>
    <col min="3" max="3" width="6.5703125" style="97" customWidth="1"/>
    <col min="4" max="4" width="14.85546875" style="97" customWidth="1"/>
    <col min="5" max="5" width="16.28515625" style="98" customWidth="1"/>
    <col min="6" max="6" width="19.28515625" style="98" customWidth="1"/>
    <col min="7" max="7" width="16.42578125" style="20" customWidth="1"/>
    <col min="8" max="8" width="13.140625" style="20" customWidth="1"/>
    <col min="9" max="9" width="12.5703125" style="20" customWidth="1"/>
    <col min="10" max="10" width="11.42578125" style="20"/>
    <col min="11" max="11" width="17.28515625" style="20" bestFit="1" customWidth="1"/>
    <col min="12" max="16384" width="11.42578125" style="20"/>
  </cols>
  <sheetData>
    <row r="1" spans="1:8" ht="16.5" thickTop="1" x14ac:dyDescent="0.25">
      <c r="A1" s="400" t="s">
        <v>77</v>
      </c>
      <c r="B1" s="401"/>
      <c r="C1" s="401"/>
      <c r="D1" s="401"/>
      <c r="E1" s="401"/>
      <c r="F1" s="58">
        <f ca="1">TODAY()</f>
        <v>43780</v>
      </c>
      <c r="G1" s="402" t="s">
        <v>78</v>
      </c>
      <c r="H1" s="404" t="s">
        <v>90</v>
      </c>
    </row>
    <row r="2" spans="1:8" s="63" customFormat="1" ht="47.25" x14ac:dyDescent="0.25">
      <c r="A2" s="59" t="s">
        <v>0</v>
      </c>
      <c r="B2" s="60" t="s">
        <v>2</v>
      </c>
      <c r="C2" s="60" t="s">
        <v>1</v>
      </c>
      <c r="D2" s="233" t="s">
        <v>89</v>
      </c>
      <c r="E2" s="62" t="s">
        <v>3</v>
      </c>
      <c r="F2" s="62" t="s">
        <v>93</v>
      </c>
      <c r="G2" s="403"/>
      <c r="H2" s="405"/>
    </row>
    <row r="3" spans="1:8" x14ac:dyDescent="0.25">
      <c r="A3" s="406" t="s">
        <v>4</v>
      </c>
      <c r="B3" s="388"/>
      <c r="C3" s="388"/>
      <c r="D3" s="388"/>
      <c r="E3" s="388"/>
      <c r="F3" s="388"/>
      <c r="G3" s="388"/>
      <c r="H3" s="407"/>
    </row>
    <row r="4" spans="1:8" x14ac:dyDescent="0.25">
      <c r="A4" s="64"/>
      <c r="B4" s="388" t="s">
        <v>5</v>
      </c>
      <c r="C4" s="388"/>
      <c r="D4" s="388"/>
      <c r="E4" s="388"/>
      <c r="F4" s="388"/>
      <c r="G4" s="388"/>
      <c r="H4" s="65"/>
    </row>
    <row r="5" spans="1:8" ht="31.5" x14ac:dyDescent="0.25">
      <c r="A5" s="64"/>
      <c r="B5" s="66" t="s">
        <v>160</v>
      </c>
      <c r="C5" s="3">
        <v>3</v>
      </c>
      <c r="D5" s="3">
        <v>3</v>
      </c>
      <c r="E5" s="4">
        <v>4426296</v>
      </c>
      <c r="F5" s="4">
        <f>C5*E5</f>
        <v>13278888</v>
      </c>
      <c r="G5" s="67">
        <f>D5*E5</f>
        <v>13278888</v>
      </c>
      <c r="H5" s="68">
        <f>G5/F5</f>
        <v>1</v>
      </c>
    </row>
    <row r="6" spans="1:8" x14ac:dyDescent="0.25">
      <c r="A6" s="64"/>
      <c r="B6" s="66" t="s">
        <v>6</v>
      </c>
      <c r="C6" s="3">
        <v>3</v>
      </c>
      <c r="D6" s="3">
        <v>3</v>
      </c>
      <c r="E6" s="4">
        <v>5305574</v>
      </c>
      <c r="F6" s="4">
        <f>C6*E6</f>
        <v>15916722</v>
      </c>
      <c r="G6" s="67">
        <f>D6*E6</f>
        <v>15916722</v>
      </c>
      <c r="H6" s="68">
        <f>G6/F6</f>
        <v>1</v>
      </c>
    </row>
    <row r="7" spans="1:8" ht="31.5" x14ac:dyDescent="0.25">
      <c r="A7" s="64"/>
      <c r="B7" s="66" t="s">
        <v>7</v>
      </c>
      <c r="C7" s="3">
        <v>3</v>
      </c>
      <c r="D7" s="3">
        <v>3</v>
      </c>
      <c r="E7" s="4">
        <v>7500778</v>
      </c>
      <c r="F7" s="4">
        <f>C7*E7</f>
        <v>22502334</v>
      </c>
      <c r="G7" s="67">
        <f>D7*E7</f>
        <v>22502334</v>
      </c>
      <c r="H7" s="68">
        <f>G7/F7</f>
        <v>1</v>
      </c>
    </row>
    <row r="8" spans="1:8" ht="16.5" x14ac:dyDescent="0.25">
      <c r="A8" s="64"/>
      <c r="B8" s="1" t="s">
        <v>8</v>
      </c>
      <c r="C8" s="3"/>
      <c r="D8" s="3"/>
      <c r="E8" s="4"/>
      <c r="F8" s="69">
        <f>SUM(F5:F7)</f>
        <v>51697944</v>
      </c>
      <c r="G8" s="70">
        <f>SUM(G5:G7)</f>
        <v>51697944</v>
      </c>
      <c r="H8" s="71">
        <f>G8/F8</f>
        <v>1</v>
      </c>
    </row>
    <row r="9" spans="1:8" x14ac:dyDescent="0.25">
      <c r="A9" s="64"/>
      <c r="B9" s="2"/>
      <c r="C9" s="3"/>
      <c r="D9" s="3"/>
      <c r="E9" s="4"/>
      <c r="F9" s="4"/>
      <c r="G9" s="2"/>
      <c r="H9" s="65"/>
    </row>
    <row r="10" spans="1:8" x14ac:dyDescent="0.25">
      <c r="A10" s="64"/>
      <c r="B10" s="1" t="s">
        <v>9</v>
      </c>
      <c r="C10" s="3"/>
      <c r="D10" s="3"/>
      <c r="E10" s="4"/>
      <c r="F10" s="4"/>
      <c r="G10" s="2"/>
      <c r="H10" s="65"/>
    </row>
    <row r="11" spans="1:8" x14ac:dyDescent="0.25">
      <c r="A11" s="64"/>
      <c r="B11" s="125" t="s">
        <v>10</v>
      </c>
      <c r="C11" s="3">
        <v>1</v>
      </c>
      <c r="D11" s="3"/>
      <c r="E11" s="72">
        <v>17944444</v>
      </c>
      <c r="F11" s="4">
        <f>C11*E11</f>
        <v>17944444</v>
      </c>
      <c r="G11" s="67">
        <f>D11*E11</f>
        <v>0</v>
      </c>
      <c r="H11" s="68">
        <f>G11/F11</f>
        <v>0</v>
      </c>
    </row>
    <row r="12" spans="1:8" x14ac:dyDescent="0.25">
      <c r="A12" s="64"/>
      <c r="B12" s="125" t="s">
        <v>11</v>
      </c>
      <c r="C12" s="3">
        <v>1</v>
      </c>
      <c r="D12" s="3"/>
      <c r="E12" s="4">
        <v>2691667</v>
      </c>
      <c r="F12" s="4">
        <f t="shared" ref="F12:F17" si="0">C12*E12</f>
        <v>2691667</v>
      </c>
      <c r="G12" s="67">
        <f t="shared" ref="G12:G17" si="1">D12*E12</f>
        <v>0</v>
      </c>
      <c r="H12" s="68">
        <f t="shared" ref="H12:H18" si="2">G12/F12</f>
        <v>0</v>
      </c>
    </row>
    <row r="13" spans="1:8" x14ac:dyDescent="0.25">
      <c r="A13" s="64"/>
      <c r="B13" s="125" t="s">
        <v>12</v>
      </c>
      <c r="C13" s="3">
        <v>1</v>
      </c>
      <c r="D13" s="3"/>
      <c r="E13" s="4">
        <v>1940991</v>
      </c>
      <c r="F13" s="4">
        <f t="shared" si="0"/>
        <v>1940991</v>
      </c>
      <c r="G13" s="67">
        <f t="shared" si="1"/>
        <v>0</v>
      </c>
      <c r="H13" s="68">
        <f t="shared" si="2"/>
        <v>0</v>
      </c>
    </row>
    <row r="14" spans="1:8" x14ac:dyDescent="0.25">
      <c r="A14" s="64"/>
      <c r="B14" s="125" t="s">
        <v>13</v>
      </c>
      <c r="C14" s="3">
        <v>1</v>
      </c>
      <c r="D14" s="3"/>
      <c r="E14" s="4">
        <v>1705320</v>
      </c>
      <c r="F14" s="4">
        <f t="shared" si="0"/>
        <v>1705320</v>
      </c>
      <c r="G14" s="67">
        <f t="shared" si="1"/>
        <v>0</v>
      </c>
      <c r="H14" s="68">
        <f t="shared" si="2"/>
        <v>0</v>
      </c>
    </row>
    <row r="15" spans="1:8" x14ac:dyDescent="0.25">
      <c r="A15" s="64"/>
      <c r="B15" s="125" t="s">
        <v>14</v>
      </c>
      <c r="C15" s="3">
        <v>1</v>
      </c>
      <c r="D15" s="3"/>
      <c r="E15" s="4">
        <v>1046759</v>
      </c>
      <c r="F15" s="4">
        <f t="shared" si="0"/>
        <v>1046759</v>
      </c>
      <c r="G15" s="67">
        <f t="shared" si="1"/>
        <v>0</v>
      </c>
      <c r="H15" s="68">
        <f t="shared" si="2"/>
        <v>0</v>
      </c>
    </row>
    <row r="16" spans="1:8" x14ac:dyDescent="0.25">
      <c r="A16" s="64"/>
      <c r="B16" s="2" t="s">
        <v>176</v>
      </c>
      <c r="C16" s="3">
        <v>3</v>
      </c>
      <c r="D16" s="3">
        <v>3</v>
      </c>
      <c r="E16" s="4">
        <v>2135389</v>
      </c>
      <c r="F16" s="4">
        <f t="shared" si="0"/>
        <v>6406167</v>
      </c>
      <c r="G16" s="67">
        <f t="shared" si="1"/>
        <v>6406167</v>
      </c>
      <c r="H16" s="68">
        <f t="shared" si="2"/>
        <v>1</v>
      </c>
    </row>
    <row r="17" spans="1:8" x14ac:dyDescent="0.25">
      <c r="A17" s="64"/>
      <c r="B17" s="125" t="s">
        <v>15</v>
      </c>
      <c r="C17" s="3">
        <v>5</v>
      </c>
      <c r="D17" s="3"/>
      <c r="E17" s="4">
        <v>323000</v>
      </c>
      <c r="F17" s="4">
        <f t="shared" si="0"/>
        <v>1615000</v>
      </c>
      <c r="G17" s="67">
        <f t="shared" si="1"/>
        <v>0</v>
      </c>
      <c r="H17" s="68">
        <f t="shared" si="2"/>
        <v>0</v>
      </c>
    </row>
    <row r="18" spans="1:8" ht="16.5" x14ac:dyDescent="0.25">
      <c r="A18" s="64"/>
      <c r="B18" s="388" t="s">
        <v>16</v>
      </c>
      <c r="C18" s="388"/>
      <c r="D18" s="388"/>
      <c r="E18" s="388"/>
      <c r="F18" s="69">
        <f>SUM(F11:F17)</f>
        <v>33350348</v>
      </c>
      <c r="G18" s="70">
        <f>SUM(G11:G17)</f>
        <v>6406167</v>
      </c>
      <c r="H18" s="71">
        <f t="shared" si="2"/>
        <v>0.19208696113156001</v>
      </c>
    </row>
    <row r="19" spans="1:8" x14ac:dyDescent="0.25">
      <c r="A19" s="64"/>
      <c r="B19" s="388" t="s">
        <v>17</v>
      </c>
      <c r="C19" s="388"/>
      <c r="D19" s="388"/>
      <c r="E19" s="388"/>
      <c r="F19" s="388"/>
      <c r="G19" s="388"/>
      <c r="H19" s="65"/>
    </row>
    <row r="20" spans="1:8" x14ac:dyDescent="0.25">
      <c r="A20" s="64"/>
      <c r="B20" s="2" t="s">
        <v>18</v>
      </c>
      <c r="C20" s="3">
        <v>2</v>
      </c>
      <c r="D20" s="3">
        <v>2</v>
      </c>
      <c r="E20" s="4">
        <v>3887963</v>
      </c>
      <c r="F20" s="4">
        <f>C20*E20</f>
        <v>7775926</v>
      </c>
      <c r="G20" s="67">
        <f>D20*E20</f>
        <v>7775926</v>
      </c>
      <c r="H20" s="68">
        <f>G20/F20</f>
        <v>1</v>
      </c>
    </row>
    <row r="21" spans="1:8" ht="47.25" x14ac:dyDescent="0.25">
      <c r="A21" s="64"/>
      <c r="B21" s="66" t="s">
        <v>153</v>
      </c>
      <c r="C21" s="3">
        <v>2</v>
      </c>
      <c r="D21" s="3">
        <v>2</v>
      </c>
      <c r="E21" s="4">
        <v>5383333</v>
      </c>
      <c r="F21" s="4">
        <f>C21*E21</f>
        <v>10766666</v>
      </c>
      <c r="G21" s="67">
        <f>D21*E21</f>
        <v>10766666</v>
      </c>
      <c r="H21" s="68">
        <f>G21/F21</f>
        <v>1</v>
      </c>
    </row>
    <row r="22" spans="1:8" ht="16.5" x14ac:dyDescent="0.25">
      <c r="A22" s="64"/>
      <c r="B22" s="388" t="s">
        <v>19</v>
      </c>
      <c r="C22" s="388"/>
      <c r="D22" s="388"/>
      <c r="E22" s="388"/>
      <c r="F22" s="69">
        <f>SUM(F20:F21)</f>
        <v>18542592</v>
      </c>
      <c r="G22" s="70">
        <f>SUM(G20:G21)</f>
        <v>18542592</v>
      </c>
      <c r="H22" s="71">
        <f>G22/F22</f>
        <v>1</v>
      </c>
    </row>
    <row r="23" spans="1:8" x14ac:dyDescent="0.25">
      <c r="A23" s="64"/>
      <c r="B23" s="388" t="s">
        <v>20</v>
      </c>
      <c r="C23" s="388"/>
      <c r="D23" s="388"/>
      <c r="E23" s="388"/>
      <c r="F23" s="388"/>
      <c r="G23" s="388"/>
      <c r="H23" s="65"/>
    </row>
    <row r="24" spans="1:8" x14ac:dyDescent="0.25">
      <c r="A24" s="64"/>
      <c r="B24" s="125" t="s">
        <v>21</v>
      </c>
      <c r="C24" s="3">
        <v>4</v>
      </c>
      <c r="D24" s="3"/>
      <c r="E24" s="4">
        <v>193800</v>
      </c>
      <c r="F24" s="4">
        <f>C24*E24</f>
        <v>775200</v>
      </c>
      <c r="G24" s="67">
        <f>D24*E24</f>
        <v>0</v>
      </c>
      <c r="H24" s="68">
        <f>G24/F24</f>
        <v>0</v>
      </c>
    </row>
    <row r="25" spans="1:8" x14ac:dyDescent="0.25">
      <c r="A25" s="64"/>
      <c r="B25" s="125" t="s">
        <v>22</v>
      </c>
      <c r="C25" s="3">
        <v>4</v>
      </c>
      <c r="D25" s="3"/>
      <c r="E25" s="4">
        <v>93311</v>
      </c>
      <c r="F25" s="4">
        <f>C25*E25</f>
        <v>373244</v>
      </c>
      <c r="G25" s="67">
        <f>D25*E25</f>
        <v>0</v>
      </c>
      <c r="H25" s="68">
        <f>G25/F25</f>
        <v>0</v>
      </c>
    </row>
    <row r="26" spans="1:8" x14ac:dyDescent="0.25">
      <c r="A26" s="64"/>
      <c r="B26" s="2" t="s">
        <v>23</v>
      </c>
      <c r="C26" s="3">
        <v>3</v>
      </c>
      <c r="D26" s="3">
        <v>3</v>
      </c>
      <c r="E26" s="4">
        <v>260194</v>
      </c>
      <c r="F26" s="4">
        <f>E26*C26</f>
        <v>780582</v>
      </c>
      <c r="G26" s="67">
        <f>D26*E26</f>
        <v>780582</v>
      </c>
      <c r="H26" s="68">
        <f>G26/F26</f>
        <v>1</v>
      </c>
    </row>
    <row r="27" spans="1:8" x14ac:dyDescent="0.25">
      <c r="A27" s="64"/>
      <c r="B27" s="1" t="s">
        <v>24</v>
      </c>
      <c r="C27" s="3"/>
      <c r="D27" s="3"/>
      <c r="E27" s="4"/>
      <c r="F27" s="69">
        <f>SUM(F24:F26)</f>
        <v>1929026</v>
      </c>
      <c r="G27" s="67">
        <f>SUM(G24:G26)</f>
        <v>780582</v>
      </c>
      <c r="H27" s="68">
        <f>G27/F27</f>
        <v>0.40465084451946215</v>
      </c>
    </row>
    <row r="28" spans="1:8" ht="16.5" x14ac:dyDescent="0.25">
      <c r="A28" s="64"/>
      <c r="B28" s="388" t="s">
        <v>25</v>
      </c>
      <c r="C28" s="388"/>
      <c r="D28" s="388"/>
      <c r="E28" s="388"/>
      <c r="F28" s="69">
        <f>F8+F18+F22+F27</f>
        <v>105519910</v>
      </c>
      <c r="G28" s="70">
        <f>G27+G22+G18+G8</f>
        <v>77427285</v>
      </c>
      <c r="H28" s="71">
        <f>G28/F28</f>
        <v>0.73376943744550194</v>
      </c>
    </row>
    <row r="29" spans="1:8" x14ac:dyDescent="0.25">
      <c r="A29" s="64"/>
      <c r="B29" s="2"/>
      <c r="C29" s="3"/>
      <c r="D29" s="3"/>
      <c r="E29" s="4"/>
      <c r="F29" s="4"/>
      <c r="G29" s="2"/>
      <c r="H29" s="65"/>
    </row>
    <row r="30" spans="1:8" x14ac:dyDescent="0.25">
      <c r="A30" s="64"/>
      <c r="B30" s="388" t="s">
        <v>26</v>
      </c>
      <c r="C30" s="388"/>
      <c r="D30" s="388"/>
      <c r="E30" s="388"/>
      <c r="F30" s="388"/>
      <c r="G30" s="388"/>
      <c r="H30" s="65"/>
    </row>
    <row r="31" spans="1:8" x14ac:dyDescent="0.25">
      <c r="A31" s="64"/>
      <c r="B31" s="2" t="s">
        <v>27</v>
      </c>
      <c r="C31" s="3">
        <v>1</v>
      </c>
      <c r="D31" s="3">
        <v>1</v>
      </c>
      <c r="E31" s="4">
        <v>1046759</v>
      </c>
      <c r="F31" s="4">
        <f>C31*E31</f>
        <v>1046759</v>
      </c>
      <c r="G31" s="67">
        <f t="shared" ref="G31:G41" si="3">D31*E31</f>
        <v>1046759</v>
      </c>
      <c r="H31" s="68">
        <f t="shared" ref="H31:H41" si="4">G31/F31</f>
        <v>1</v>
      </c>
    </row>
    <row r="32" spans="1:8" ht="31.5" x14ac:dyDescent="0.25">
      <c r="A32" s="64"/>
      <c r="B32" s="66" t="s">
        <v>174</v>
      </c>
      <c r="C32" s="3">
        <v>2</v>
      </c>
      <c r="D32" s="3"/>
      <c r="E32" s="4">
        <v>1943981</v>
      </c>
      <c r="F32" s="4">
        <f t="shared" ref="F32:F41" si="5">C32*E32</f>
        <v>3887962</v>
      </c>
      <c r="G32" s="67">
        <f t="shared" si="3"/>
        <v>0</v>
      </c>
      <c r="H32" s="68">
        <f t="shared" si="4"/>
        <v>0</v>
      </c>
    </row>
    <row r="33" spans="1:8" ht="31.5" x14ac:dyDescent="0.25">
      <c r="A33" s="64"/>
      <c r="B33" s="66" t="s">
        <v>28</v>
      </c>
      <c r="C33" s="3">
        <v>8</v>
      </c>
      <c r="D33" s="3">
        <v>8</v>
      </c>
      <c r="E33" s="4">
        <v>265457</v>
      </c>
      <c r="F33" s="4">
        <f>C33*E33</f>
        <v>2123656</v>
      </c>
      <c r="G33" s="67">
        <f t="shared" si="3"/>
        <v>2123656</v>
      </c>
      <c r="H33" s="68">
        <f t="shared" si="4"/>
        <v>1</v>
      </c>
    </row>
    <row r="34" spans="1:8" x14ac:dyDescent="0.25">
      <c r="A34" s="64"/>
      <c r="B34" s="2" t="s">
        <v>29</v>
      </c>
      <c r="C34" s="3">
        <v>3</v>
      </c>
      <c r="D34" s="3">
        <v>3</v>
      </c>
      <c r="E34" s="4">
        <v>1046759</v>
      </c>
      <c r="F34" s="4">
        <f t="shared" si="5"/>
        <v>3140277</v>
      </c>
      <c r="G34" s="67">
        <f t="shared" si="3"/>
        <v>3140277</v>
      </c>
      <c r="H34" s="68">
        <f t="shared" si="4"/>
        <v>1</v>
      </c>
    </row>
    <row r="35" spans="1:8" ht="31.5" x14ac:dyDescent="0.25">
      <c r="A35" s="64"/>
      <c r="B35" s="66" t="s">
        <v>30</v>
      </c>
      <c r="C35" s="3">
        <v>1</v>
      </c>
      <c r="D35" s="3">
        <v>1</v>
      </c>
      <c r="E35" s="4">
        <v>2213148</v>
      </c>
      <c r="F35" s="4">
        <f t="shared" si="5"/>
        <v>2213148</v>
      </c>
      <c r="G35" s="67">
        <f t="shared" si="3"/>
        <v>2213148</v>
      </c>
      <c r="H35" s="68">
        <f t="shared" si="4"/>
        <v>1</v>
      </c>
    </row>
    <row r="36" spans="1:8" ht="47.25" x14ac:dyDescent="0.25">
      <c r="A36" s="64"/>
      <c r="B36" s="66" t="s">
        <v>31</v>
      </c>
      <c r="C36" s="3">
        <v>1</v>
      </c>
      <c r="D36" s="3">
        <v>1</v>
      </c>
      <c r="E36" s="4">
        <v>2990741</v>
      </c>
      <c r="F36" s="4">
        <f t="shared" si="5"/>
        <v>2990741</v>
      </c>
      <c r="G36" s="67">
        <f t="shared" si="3"/>
        <v>2990741</v>
      </c>
      <c r="H36" s="68">
        <f t="shared" si="4"/>
        <v>1</v>
      </c>
    </row>
    <row r="37" spans="1:8" ht="31.5" x14ac:dyDescent="0.25">
      <c r="A37" s="64"/>
      <c r="B37" s="66" t="s">
        <v>32</v>
      </c>
      <c r="C37" s="3">
        <v>1</v>
      </c>
      <c r="D37" s="3">
        <v>1</v>
      </c>
      <c r="E37" s="4">
        <v>2762963</v>
      </c>
      <c r="F37" s="4">
        <f t="shared" si="5"/>
        <v>2762963</v>
      </c>
      <c r="G37" s="67">
        <f t="shared" si="3"/>
        <v>2762963</v>
      </c>
      <c r="H37" s="68">
        <f t="shared" si="4"/>
        <v>1</v>
      </c>
    </row>
    <row r="38" spans="1:8" ht="31.5" x14ac:dyDescent="0.25">
      <c r="A38" s="64"/>
      <c r="B38" s="66" t="s">
        <v>33</v>
      </c>
      <c r="C38" s="3">
        <v>1</v>
      </c>
      <c r="D38" s="3">
        <v>1</v>
      </c>
      <c r="E38" s="4">
        <v>2063611</v>
      </c>
      <c r="F38" s="4">
        <f t="shared" si="5"/>
        <v>2063611</v>
      </c>
      <c r="G38" s="67">
        <f t="shared" si="3"/>
        <v>2063611</v>
      </c>
      <c r="H38" s="68">
        <f t="shared" si="4"/>
        <v>1</v>
      </c>
    </row>
    <row r="39" spans="1:8" x14ac:dyDescent="0.25">
      <c r="A39" s="64"/>
      <c r="B39" s="2" t="s">
        <v>34</v>
      </c>
      <c r="C39" s="3">
        <v>2</v>
      </c>
      <c r="D39" s="3">
        <v>2</v>
      </c>
      <c r="E39" s="4">
        <v>1088630</v>
      </c>
      <c r="F39" s="4">
        <f t="shared" si="5"/>
        <v>2177260</v>
      </c>
      <c r="G39" s="67">
        <f t="shared" si="3"/>
        <v>2177260</v>
      </c>
      <c r="H39" s="68">
        <f t="shared" si="4"/>
        <v>1</v>
      </c>
    </row>
    <row r="40" spans="1:8" x14ac:dyDescent="0.25">
      <c r="A40" s="64"/>
      <c r="B40" s="2" t="s">
        <v>35</v>
      </c>
      <c r="C40" s="3">
        <v>2</v>
      </c>
      <c r="D40" s="3">
        <v>2</v>
      </c>
      <c r="E40" s="4">
        <v>508426</v>
      </c>
      <c r="F40" s="4">
        <f t="shared" si="5"/>
        <v>1016852</v>
      </c>
      <c r="G40" s="67">
        <f t="shared" si="3"/>
        <v>1016852</v>
      </c>
      <c r="H40" s="68">
        <f t="shared" si="4"/>
        <v>1</v>
      </c>
    </row>
    <row r="41" spans="1:8" x14ac:dyDescent="0.25">
      <c r="A41" s="64"/>
      <c r="B41" s="2" t="s">
        <v>36</v>
      </c>
      <c r="C41" s="3">
        <v>2</v>
      </c>
      <c r="D41" s="3">
        <v>2</v>
      </c>
      <c r="E41" s="4">
        <v>2930926</v>
      </c>
      <c r="F41" s="4">
        <f t="shared" si="5"/>
        <v>5861852</v>
      </c>
      <c r="G41" s="67">
        <f t="shared" si="3"/>
        <v>5861852</v>
      </c>
      <c r="H41" s="68">
        <f t="shared" si="4"/>
        <v>1</v>
      </c>
    </row>
    <row r="42" spans="1:8" ht="16.5" x14ac:dyDescent="0.25">
      <c r="A42" s="64"/>
      <c r="B42" s="388" t="s">
        <v>37</v>
      </c>
      <c r="C42" s="388"/>
      <c r="D42" s="388"/>
      <c r="E42" s="388"/>
      <c r="F42" s="69">
        <f>SUM(F31:F41)</f>
        <v>29285081</v>
      </c>
      <c r="G42" s="70">
        <f>SUM(G31:G41)</f>
        <v>25397119</v>
      </c>
      <c r="H42" s="71">
        <f>G42/F42</f>
        <v>0.86723745104205108</v>
      </c>
    </row>
    <row r="43" spans="1:8" x14ac:dyDescent="0.25">
      <c r="A43" s="64"/>
      <c r="B43" s="2"/>
      <c r="C43" s="3"/>
      <c r="D43" s="3"/>
      <c r="E43" s="4"/>
      <c r="F43" s="4"/>
      <c r="G43" s="2"/>
      <c r="H43" s="65"/>
    </row>
    <row r="44" spans="1:8" x14ac:dyDescent="0.25">
      <c r="A44" s="64"/>
      <c r="B44" s="388" t="s">
        <v>38</v>
      </c>
      <c r="C44" s="388"/>
      <c r="D44" s="388"/>
      <c r="E44" s="388"/>
      <c r="F44" s="388"/>
      <c r="G44" s="388"/>
      <c r="H44" s="65"/>
    </row>
    <row r="45" spans="1:8" x14ac:dyDescent="0.25">
      <c r="A45" s="64"/>
      <c r="B45" s="2" t="s">
        <v>39</v>
      </c>
      <c r="C45" s="3"/>
      <c r="D45" s="3"/>
      <c r="E45" s="4"/>
      <c r="F45" s="4"/>
      <c r="G45" s="2"/>
      <c r="H45" s="65"/>
    </row>
    <row r="46" spans="1:8" x14ac:dyDescent="0.25">
      <c r="A46" s="64"/>
      <c r="B46" s="2" t="s">
        <v>40</v>
      </c>
      <c r="C46" s="3">
        <v>1</v>
      </c>
      <c r="D46" s="3">
        <v>1</v>
      </c>
      <c r="E46" s="4">
        <v>1196296</v>
      </c>
      <c r="F46" s="4">
        <f>C46*E46</f>
        <v>1196296</v>
      </c>
      <c r="G46" s="67">
        <f>D46*E46</f>
        <v>1196296</v>
      </c>
      <c r="H46" s="68">
        <f>G46/F46</f>
        <v>1</v>
      </c>
    </row>
    <row r="47" spans="1:8" x14ac:dyDescent="0.25">
      <c r="A47" s="64"/>
      <c r="B47" s="2" t="s">
        <v>41</v>
      </c>
      <c r="C47" s="3">
        <v>1</v>
      </c>
      <c r="D47" s="3">
        <v>1</v>
      </c>
      <c r="E47" s="4">
        <v>598148</v>
      </c>
      <c r="F47" s="4">
        <f>C47*E47</f>
        <v>598148</v>
      </c>
      <c r="G47" s="67">
        <f>D47*E47</f>
        <v>598148</v>
      </c>
      <c r="H47" s="68">
        <f>G47/F47</f>
        <v>1</v>
      </c>
    </row>
    <row r="48" spans="1:8" x14ac:dyDescent="0.25">
      <c r="A48" s="64"/>
      <c r="B48" s="2" t="s">
        <v>42</v>
      </c>
      <c r="C48" s="3">
        <v>1</v>
      </c>
      <c r="D48" s="3">
        <v>1</v>
      </c>
      <c r="E48" s="4">
        <v>598148</v>
      </c>
      <c r="F48" s="4">
        <f>C48*E48</f>
        <v>598148</v>
      </c>
      <c r="G48" s="67">
        <f>D48*E48</f>
        <v>598148</v>
      </c>
      <c r="H48" s="68">
        <f>G48/F48</f>
        <v>1</v>
      </c>
    </row>
    <row r="49" spans="1:8" ht="16.5" x14ac:dyDescent="0.25">
      <c r="A49" s="64"/>
      <c r="B49" s="388" t="s">
        <v>43</v>
      </c>
      <c r="C49" s="388"/>
      <c r="D49" s="388"/>
      <c r="E49" s="388"/>
      <c r="F49" s="69">
        <f>SUM(F46:F48)</f>
        <v>2392592</v>
      </c>
      <c r="G49" s="70">
        <f>SUM(G46:G48)</f>
        <v>2392592</v>
      </c>
      <c r="H49" s="71">
        <f>G49/F49</f>
        <v>1</v>
      </c>
    </row>
    <row r="50" spans="1:8" x14ac:dyDescent="0.25">
      <c r="A50" s="64"/>
      <c r="B50" s="1" t="s">
        <v>44</v>
      </c>
      <c r="C50" s="3"/>
      <c r="D50" s="3"/>
      <c r="E50" s="4"/>
      <c r="F50" s="4"/>
      <c r="G50" s="2"/>
      <c r="H50" s="65"/>
    </row>
    <row r="51" spans="1:8" x14ac:dyDescent="0.25">
      <c r="A51" s="64"/>
      <c r="B51" s="1" t="s">
        <v>92</v>
      </c>
      <c r="C51" s="3"/>
      <c r="D51" s="3"/>
      <c r="E51" s="4"/>
      <c r="F51" s="4"/>
      <c r="G51" s="2"/>
      <c r="H51" s="65"/>
    </row>
    <row r="52" spans="1:8" x14ac:dyDescent="0.25">
      <c r="A52" s="64"/>
      <c r="B52" s="2" t="s">
        <v>45</v>
      </c>
      <c r="C52" s="3">
        <v>12</v>
      </c>
      <c r="D52" s="3">
        <v>12</v>
      </c>
      <c r="E52" s="4">
        <v>89722</v>
      </c>
      <c r="F52" s="4">
        <f>C52*E52</f>
        <v>1076664</v>
      </c>
      <c r="G52" s="67">
        <f>D52*E52</f>
        <v>1076664</v>
      </c>
      <c r="H52" s="68">
        <f t="shared" ref="H52:H57" si="6">G52/F52</f>
        <v>1</v>
      </c>
    </row>
    <row r="53" spans="1:8" x14ac:dyDescent="0.25">
      <c r="A53" s="64"/>
      <c r="B53" s="125" t="s">
        <v>46</v>
      </c>
      <c r="C53" s="3">
        <v>3</v>
      </c>
      <c r="D53" s="3"/>
      <c r="E53" s="4">
        <v>119630</v>
      </c>
      <c r="F53" s="4">
        <f>C53*E53</f>
        <v>358890</v>
      </c>
      <c r="G53" s="67">
        <f>D53*E53</f>
        <v>0</v>
      </c>
      <c r="H53" s="68">
        <f t="shared" si="6"/>
        <v>0</v>
      </c>
    </row>
    <row r="54" spans="1:8" x14ac:dyDescent="0.25">
      <c r="A54" s="64"/>
      <c r="B54" s="2" t="s">
        <v>47</v>
      </c>
      <c r="C54" s="3">
        <v>2</v>
      </c>
      <c r="D54" s="3">
        <v>2</v>
      </c>
      <c r="E54" s="4">
        <v>193800</v>
      </c>
      <c r="F54" s="4">
        <f>C54*E54</f>
        <v>387600</v>
      </c>
      <c r="G54" s="67">
        <f>D54*E54</f>
        <v>387600</v>
      </c>
      <c r="H54" s="68">
        <f t="shared" si="6"/>
        <v>1</v>
      </c>
    </row>
    <row r="55" spans="1:8" x14ac:dyDescent="0.25">
      <c r="A55" s="64"/>
      <c r="B55" s="2" t="s">
        <v>185</v>
      </c>
      <c r="C55" s="3">
        <v>3</v>
      </c>
      <c r="D55" s="3">
        <v>3</v>
      </c>
      <c r="E55" s="4">
        <v>119630</v>
      </c>
      <c r="F55" s="4">
        <f>C55*E55</f>
        <v>358890</v>
      </c>
      <c r="G55" s="67">
        <f>D55*E55</f>
        <v>358890</v>
      </c>
      <c r="H55" s="68">
        <f t="shared" si="6"/>
        <v>1</v>
      </c>
    </row>
    <row r="56" spans="1:8" x14ac:dyDescent="0.25">
      <c r="A56" s="64"/>
      <c r="B56" s="2" t="s">
        <v>186</v>
      </c>
      <c r="C56" s="3">
        <v>2</v>
      </c>
      <c r="D56" s="3">
        <v>2</v>
      </c>
      <c r="E56" s="4">
        <v>209352</v>
      </c>
      <c r="F56" s="4">
        <f>C56*E56</f>
        <v>418704</v>
      </c>
      <c r="G56" s="67">
        <f>D56*E56</f>
        <v>418704</v>
      </c>
      <c r="H56" s="68">
        <f t="shared" si="6"/>
        <v>1</v>
      </c>
    </row>
    <row r="57" spans="1:8" ht="16.5" x14ac:dyDescent="0.25">
      <c r="A57" s="64"/>
      <c r="B57" s="388" t="s">
        <v>50</v>
      </c>
      <c r="C57" s="388"/>
      <c r="D57" s="388"/>
      <c r="E57" s="388"/>
      <c r="F57" s="69">
        <f>SUM(F52:F56)</f>
        <v>2600748</v>
      </c>
      <c r="G57" s="70">
        <f>SUM(G52:G56)</f>
        <v>2241858</v>
      </c>
      <c r="H57" s="71">
        <f t="shared" si="6"/>
        <v>0.86200508469101966</v>
      </c>
    </row>
    <row r="58" spans="1:8" x14ac:dyDescent="0.25">
      <c r="A58" s="64"/>
      <c r="B58" s="1" t="s">
        <v>51</v>
      </c>
      <c r="C58" s="3"/>
      <c r="D58" s="3"/>
      <c r="E58" s="4"/>
      <c r="F58" s="4"/>
      <c r="G58" s="2"/>
      <c r="H58" s="65"/>
    </row>
    <row r="59" spans="1:8" x14ac:dyDescent="0.25">
      <c r="A59" s="64"/>
      <c r="B59" s="2" t="s">
        <v>52</v>
      </c>
      <c r="C59" s="3">
        <v>2</v>
      </c>
      <c r="D59" s="3">
        <v>2</v>
      </c>
      <c r="E59" s="4">
        <v>412722</v>
      </c>
      <c r="F59" s="4">
        <f>C59*E59</f>
        <v>825444</v>
      </c>
      <c r="G59" s="67">
        <f>D59*E59</f>
        <v>825444</v>
      </c>
      <c r="H59" s="68">
        <f t="shared" ref="H59:H64" si="7">G59/F59</f>
        <v>1</v>
      </c>
    </row>
    <row r="60" spans="1:8" x14ac:dyDescent="0.25">
      <c r="A60" s="64"/>
      <c r="B60" s="2" t="s">
        <v>53</v>
      </c>
      <c r="C60" s="3">
        <v>1</v>
      </c>
      <c r="D60" s="3">
        <v>1</v>
      </c>
      <c r="E60" s="4">
        <v>583793</v>
      </c>
      <c r="F60" s="4">
        <f>C60*E60</f>
        <v>583793</v>
      </c>
      <c r="G60" s="67">
        <f>D60*E60</f>
        <v>583793</v>
      </c>
      <c r="H60" s="68">
        <f t="shared" si="7"/>
        <v>1</v>
      </c>
    </row>
    <row r="61" spans="1:8" x14ac:dyDescent="0.25">
      <c r="A61" s="64"/>
      <c r="B61" s="2" t="s">
        <v>54</v>
      </c>
      <c r="C61" s="3">
        <v>10</v>
      </c>
      <c r="D61" s="3">
        <v>10</v>
      </c>
      <c r="E61" s="4">
        <v>67083</v>
      </c>
      <c r="F61" s="4">
        <f>C61*E61</f>
        <v>670830</v>
      </c>
      <c r="G61" s="67">
        <f>D61*E61</f>
        <v>670830</v>
      </c>
      <c r="H61" s="68">
        <f t="shared" si="7"/>
        <v>1</v>
      </c>
    </row>
    <row r="62" spans="1:8" x14ac:dyDescent="0.25">
      <c r="A62" s="64"/>
      <c r="B62" s="2" t="s">
        <v>55</v>
      </c>
      <c r="C62" s="3">
        <v>8</v>
      </c>
      <c r="D62" s="3">
        <v>8</v>
      </c>
      <c r="E62" s="4">
        <v>78333</v>
      </c>
      <c r="F62" s="4">
        <f>C62*E62</f>
        <v>626664</v>
      </c>
      <c r="G62" s="67">
        <f>D62*E62</f>
        <v>626664</v>
      </c>
      <c r="H62" s="68">
        <f t="shared" si="7"/>
        <v>1</v>
      </c>
    </row>
    <row r="63" spans="1:8" x14ac:dyDescent="0.25">
      <c r="A63" s="64"/>
      <c r="B63" s="2" t="s">
        <v>56</v>
      </c>
      <c r="C63" s="3">
        <v>1</v>
      </c>
      <c r="D63" s="3">
        <v>1</v>
      </c>
      <c r="E63" s="4">
        <v>6447074</v>
      </c>
      <c r="F63" s="4">
        <f>C63*E63</f>
        <v>6447074</v>
      </c>
      <c r="G63" s="67">
        <f>D63*E63</f>
        <v>6447074</v>
      </c>
      <c r="H63" s="68">
        <f t="shared" si="7"/>
        <v>1</v>
      </c>
    </row>
    <row r="64" spans="1:8" ht="16.5" x14ac:dyDescent="0.25">
      <c r="A64" s="64"/>
      <c r="B64" s="388" t="s">
        <v>57</v>
      </c>
      <c r="C64" s="388"/>
      <c r="D64" s="388"/>
      <c r="E64" s="388"/>
      <c r="F64" s="69">
        <f>SUM(F59:F63)</f>
        <v>9153805</v>
      </c>
      <c r="G64" s="70">
        <f>SUM(G59:G63)</f>
        <v>9153805</v>
      </c>
      <c r="H64" s="71">
        <f t="shared" si="7"/>
        <v>1</v>
      </c>
    </row>
    <row r="65" spans="1:8" x14ac:dyDescent="0.25">
      <c r="A65" s="64"/>
      <c r="B65" s="1" t="s">
        <v>175</v>
      </c>
      <c r="C65" s="3"/>
      <c r="D65" s="3"/>
      <c r="E65" s="4"/>
      <c r="F65" s="4"/>
      <c r="G65" s="2"/>
      <c r="H65" s="65"/>
    </row>
    <row r="66" spans="1:8" x14ac:dyDescent="0.25">
      <c r="A66" s="64"/>
      <c r="B66" s="125" t="s">
        <v>165</v>
      </c>
      <c r="C66" s="3">
        <v>16</v>
      </c>
      <c r="D66" s="3"/>
      <c r="E66" s="4">
        <v>74170</v>
      </c>
      <c r="F66" s="4">
        <f>C66*E66</f>
        <v>1186720</v>
      </c>
      <c r="G66" s="67">
        <f>D66*E66</f>
        <v>0</v>
      </c>
      <c r="H66" s="68">
        <f>G66/F66</f>
        <v>0</v>
      </c>
    </row>
    <row r="67" spans="1:8" x14ac:dyDescent="0.25">
      <c r="A67" s="64"/>
      <c r="B67" s="2" t="s">
        <v>58</v>
      </c>
      <c r="C67" s="3">
        <v>6</v>
      </c>
      <c r="D67" s="3">
        <v>6</v>
      </c>
      <c r="E67" s="4">
        <v>227296</v>
      </c>
      <c r="F67" s="4">
        <f>C67*E67</f>
        <v>1363776</v>
      </c>
      <c r="G67" s="67">
        <f>D67*E67</f>
        <v>1363776</v>
      </c>
      <c r="H67" s="68">
        <f>G67/F67</f>
        <v>1</v>
      </c>
    </row>
    <row r="68" spans="1:8" ht="16.5" x14ac:dyDescent="0.25">
      <c r="A68" s="64"/>
      <c r="B68" s="1" t="s">
        <v>59</v>
      </c>
      <c r="C68" s="3"/>
      <c r="D68" s="3"/>
      <c r="E68" s="4"/>
      <c r="F68" s="69">
        <f>SUM(F66:F67)</f>
        <v>2550496</v>
      </c>
      <c r="G68" s="70">
        <f>SUM(G66:G67)</f>
        <v>1363776</v>
      </c>
      <c r="H68" s="71">
        <f>G68/F68</f>
        <v>0.53471011128815726</v>
      </c>
    </row>
    <row r="69" spans="1:8" x14ac:dyDescent="0.25">
      <c r="A69" s="64"/>
      <c r="B69" s="1" t="s">
        <v>60</v>
      </c>
      <c r="C69" s="3"/>
      <c r="D69" s="3"/>
      <c r="E69" s="4"/>
      <c r="F69" s="4"/>
      <c r="G69" s="2"/>
      <c r="H69" s="65"/>
    </row>
    <row r="70" spans="1:8" x14ac:dyDescent="0.25">
      <c r="A70" s="64"/>
      <c r="B70" s="2" t="s">
        <v>166</v>
      </c>
      <c r="C70" s="3">
        <v>6</v>
      </c>
      <c r="D70" s="3">
        <v>6</v>
      </c>
      <c r="E70" s="4">
        <v>133656</v>
      </c>
      <c r="F70" s="4">
        <f>C70*E70</f>
        <v>801936</v>
      </c>
      <c r="G70" s="67">
        <f>D70*E70</f>
        <v>801936</v>
      </c>
      <c r="H70" s="68">
        <f>G70/F70</f>
        <v>1</v>
      </c>
    </row>
    <row r="71" spans="1:8" x14ac:dyDescent="0.25">
      <c r="A71" s="64"/>
      <c r="B71" s="5" t="s">
        <v>61</v>
      </c>
      <c r="C71" s="3">
        <v>2</v>
      </c>
      <c r="D71" s="3">
        <v>2</v>
      </c>
      <c r="E71" s="4">
        <v>466556</v>
      </c>
      <c r="F71" s="4">
        <f>C71*E71</f>
        <v>933112</v>
      </c>
      <c r="G71" s="67">
        <f>D71*E71</f>
        <v>933112</v>
      </c>
      <c r="H71" s="68">
        <f>G71/F71</f>
        <v>1</v>
      </c>
    </row>
    <row r="72" spans="1:8" ht="16.5" x14ac:dyDescent="0.25">
      <c r="A72" s="64"/>
      <c r="B72" s="73" t="s">
        <v>62</v>
      </c>
      <c r="C72" s="3"/>
      <c r="D72" s="3"/>
      <c r="E72" s="4"/>
      <c r="F72" s="69">
        <f>SUM(F70:F71)</f>
        <v>1735048</v>
      </c>
      <c r="G72" s="70">
        <f>SUM(G70:G71)</f>
        <v>1735048</v>
      </c>
      <c r="H72" s="71">
        <f>G72/F72</f>
        <v>1</v>
      </c>
    </row>
    <row r="73" spans="1:8" x14ac:dyDescent="0.25">
      <c r="A73" s="64"/>
      <c r="B73" s="73" t="s">
        <v>63</v>
      </c>
      <c r="C73" s="3"/>
      <c r="D73" s="3"/>
      <c r="E73" s="4"/>
      <c r="F73" s="4"/>
      <c r="G73" s="2"/>
      <c r="H73" s="65"/>
    </row>
    <row r="74" spans="1:8" x14ac:dyDescent="0.25">
      <c r="A74" s="64"/>
      <c r="B74" s="5" t="s">
        <v>95</v>
      </c>
      <c r="C74" s="3">
        <v>3</v>
      </c>
      <c r="D74" s="3">
        <v>3</v>
      </c>
      <c r="E74" s="4">
        <v>171070</v>
      </c>
      <c r="F74" s="4">
        <f>C74*E74</f>
        <v>513210</v>
      </c>
      <c r="G74" s="67">
        <f>D74*E74</f>
        <v>513210</v>
      </c>
      <c r="H74" s="68">
        <f t="shared" ref="H74:H80" si="8">G74/F74</f>
        <v>1</v>
      </c>
    </row>
    <row r="75" spans="1:8" x14ac:dyDescent="0.25">
      <c r="A75" s="64"/>
      <c r="B75" s="123" t="s">
        <v>154</v>
      </c>
      <c r="C75" s="3">
        <v>1</v>
      </c>
      <c r="D75" s="3">
        <v>1</v>
      </c>
      <c r="E75" s="4">
        <v>215333</v>
      </c>
      <c r="F75" s="4">
        <f>C75*E75</f>
        <v>215333</v>
      </c>
      <c r="G75" s="67">
        <f>D75*E75</f>
        <v>215333</v>
      </c>
      <c r="H75" s="68">
        <f t="shared" si="8"/>
        <v>1</v>
      </c>
    </row>
    <row r="76" spans="1:8" x14ac:dyDescent="0.25">
      <c r="A76" s="64"/>
      <c r="B76" s="124" t="s">
        <v>64</v>
      </c>
      <c r="C76" s="3">
        <v>40</v>
      </c>
      <c r="D76" s="3">
        <v>40</v>
      </c>
      <c r="E76" s="4">
        <v>35291</v>
      </c>
      <c r="F76" s="4">
        <f>C76*E76</f>
        <v>1411640</v>
      </c>
      <c r="G76" s="67">
        <f>D76*E76</f>
        <v>1411640</v>
      </c>
      <c r="H76" s="68">
        <f t="shared" si="8"/>
        <v>1</v>
      </c>
    </row>
    <row r="77" spans="1:8" x14ac:dyDescent="0.25">
      <c r="A77" s="64"/>
      <c r="B77" s="123" t="s">
        <v>96</v>
      </c>
      <c r="C77" s="3">
        <v>50</v>
      </c>
      <c r="D77" s="3">
        <v>50</v>
      </c>
      <c r="E77" s="4">
        <v>23926</v>
      </c>
      <c r="F77" s="4">
        <f>C77*E77</f>
        <v>1196300</v>
      </c>
      <c r="G77" s="67">
        <f>D77*E77</f>
        <v>1196300</v>
      </c>
      <c r="H77" s="68">
        <f t="shared" si="8"/>
        <v>1</v>
      </c>
    </row>
    <row r="78" spans="1:8" x14ac:dyDescent="0.25">
      <c r="A78" s="64"/>
      <c r="B78" s="5" t="s">
        <v>65</v>
      </c>
      <c r="C78" s="3">
        <v>18</v>
      </c>
      <c r="D78" s="3">
        <v>18</v>
      </c>
      <c r="E78" s="4">
        <v>118433</v>
      </c>
      <c r="F78" s="4">
        <f>C78*E78</f>
        <v>2131794</v>
      </c>
      <c r="G78" s="67">
        <f>D78*E78</f>
        <v>2131794</v>
      </c>
      <c r="H78" s="68">
        <f t="shared" si="8"/>
        <v>1</v>
      </c>
    </row>
    <row r="79" spans="1:8" ht="16.5" x14ac:dyDescent="0.25">
      <c r="A79" s="64"/>
      <c r="B79" s="73" t="s">
        <v>66</v>
      </c>
      <c r="C79" s="3"/>
      <c r="D79" s="3"/>
      <c r="E79" s="4"/>
      <c r="F79" s="69">
        <f>SUM(F74:F78)</f>
        <v>5468277</v>
      </c>
      <c r="G79" s="70">
        <f>SUM(G74:G78)</f>
        <v>5468277</v>
      </c>
      <c r="H79" s="71">
        <f t="shared" si="8"/>
        <v>1</v>
      </c>
    </row>
    <row r="80" spans="1:8" x14ac:dyDescent="0.25">
      <c r="A80" s="64"/>
      <c r="B80" s="388" t="s">
        <v>67</v>
      </c>
      <c r="C80" s="388"/>
      <c r="D80" s="388"/>
      <c r="E80" s="388"/>
      <c r="F80" s="69">
        <f>F57+F64+F68+F72+F79</f>
        <v>21508374</v>
      </c>
      <c r="G80" s="114">
        <f>G79+G72+G68+G64+G57</f>
        <v>19962764</v>
      </c>
      <c r="H80" s="115">
        <f t="shared" si="8"/>
        <v>0.92813915175549766</v>
      </c>
    </row>
    <row r="81" spans="1:11" x14ac:dyDescent="0.25">
      <c r="A81" s="64"/>
      <c r="B81" s="2"/>
      <c r="C81" s="3"/>
      <c r="D81" s="3"/>
      <c r="E81" s="4"/>
      <c r="F81" s="4"/>
      <c r="G81" s="2"/>
      <c r="H81" s="65"/>
    </row>
    <row r="82" spans="1:11" x14ac:dyDescent="0.25">
      <c r="A82" s="64"/>
      <c r="B82" s="388" t="s">
        <v>68</v>
      </c>
      <c r="C82" s="388"/>
      <c r="D82" s="388"/>
      <c r="E82" s="388"/>
      <c r="F82" s="4"/>
      <c r="G82" s="2"/>
      <c r="H82" s="65"/>
    </row>
    <row r="83" spans="1:11" x14ac:dyDescent="0.25">
      <c r="A83" s="64"/>
      <c r="B83" s="2" t="s">
        <v>69</v>
      </c>
      <c r="C83" s="3">
        <v>12</v>
      </c>
      <c r="D83" s="3">
        <v>12</v>
      </c>
      <c r="E83" s="4">
        <v>95704</v>
      </c>
      <c r="F83" s="4">
        <f>C83*E83</f>
        <v>1148448</v>
      </c>
      <c r="G83" s="67">
        <f>D83*E83</f>
        <v>1148448</v>
      </c>
      <c r="H83" s="68">
        <f>G83/F83</f>
        <v>1</v>
      </c>
    </row>
    <row r="84" spans="1:11" x14ac:dyDescent="0.25">
      <c r="A84" s="64"/>
      <c r="B84" s="2" t="s">
        <v>172</v>
      </c>
      <c r="C84" s="3">
        <v>36</v>
      </c>
      <c r="D84" s="3">
        <v>36</v>
      </c>
      <c r="E84" s="4">
        <v>47852</v>
      </c>
      <c r="F84" s="4">
        <f>C84*E84</f>
        <v>1722672</v>
      </c>
      <c r="G84" s="67">
        <f>D84*E84</f>
        <v>1722672</v>
      </c>
      <c r="H84" s="68">
        <f>G84/F84</f>
        <v>1</v>
      </c>
    </row>
    <row r="85" spans="1:11" x14ac:dyDescent="0.25">
      <c r="A85" s="64"/>
      <c r="B85" s="388" t="s">
        <v>70</v>
      </c>
      <c r="C85" s="388"/>
      <c r="D85" s="388"/>
      <c r="E85" s="388"/>
      <c r="F85" s="69">
        <f>SUM(F83:F84)</f>
        <v>2871120</v>
      </c>
      <c r="G85" s="67">
        <f>SUM(G83:G84)</f>
        <v>2871120</v>
      </c>
      <c r="H85" s="68">
        <f>G85/F85</f>
        <v>1</v>
      </c>
    </row>
    <row r="86" spans="1:11" ht="16.5" x14ac:dyDescent="0.25">
      <c r="A86" s="64"/>
      <c r="B86" s="1" t="s">
        <v>99</v>
      </c>
      <c r="C86" s="3"/>
      <c r="D86" s="3"/>
      <c r="E86" s="4"/>
      <c r="F86" s="74">
        <f>F28+F42+F49+F80+F85</f>
        <v>161577077</v>
      </c>
      <c r="G86" s="114">
        <f>G85+G80+G49+G42+G28</f>
        <v>128050880</v>
      </c>
      <c r="H86" s="65"/>
    </row>
    <row r="87" spans="1:11" x14ac:dyDescent="0.25">
      <c r="A87" s="64"/>
      <c r="B87" s="2" t="s">
        <v>167</v>
      </c>
      <c r="C87" s="3"/>
      <c r="D87" s="3"/>
      <c r="E87" s="4"/>
      <c r="F87" s="4">
        <f>F86*0.35</f>
        <v>56551976.949999996</v>
      </c>
      <c r="G87" s="114">
        <f>G86*0.35</f>
        <v>44817808</v>
      </c>
      <c r="H87" s="65"/>
      <c r="K87" s="102"/>
    </row>
    <row r="88" spans="1:11" x14ac:dyDescent="0.25">
      <c r="A88" s="64"/>
      <c r="B88" s="1" t="s">
        <v>98</v>
      </c>
      <c r="C88" s="3"/>
      <c r="D88" s="3"/>
      <c r="E88" s="4"/>
      <c r="F88" s="4"/>
      <c r="G88" s="2"/>
      <c r="H88" s="65"/>
    </row>
    <row r="89" spans="1:11" ht="47.25" x14ac:dyDescent="0.25">
      <c r="A89" s="64"/>
      <c r="B89" s="66" t="s">
        <v>71</v>
      </c>
      <c r="C89" s="3">
        <v>1</v>
      </c>
      <c r="D89" s="3">
        <v>1</v>
      </c>
      <c r="E89" s="4">
        <v>2924789</v>
      </c>
      <c r="F89" s="4">
        <f>C89*E89</f>
        <v>2924789</v>
      </c>
      <c r="G89" s="114">
        <f>E89*D89</f>
        <v>2924789</v>
      </c>
      <c r="H89" s="115">
        <f t="shared" ref="H89:H95" si="9">G89/F89</f>
        <v>1</v>
      </c>
      <c r="K89" s="102"/>
    </row>
    <row r="90" spans="1:11" ht="47.25" x14ac:dyDescent="0.25">
      <c r="A90" s="64"/>
      <c r="B90" s="66" t="s">
        <v>72</v>
      </c>
      <c r="C90" s="3">
        <v>1</v>
      </c>
      <c r="D90" s="3">
        <v>1</v>
      </c>
      <c r="E90" s="4">
        <v>3788875</v>
      </c>
      <c r="F90" s="4">
        <f>C90*E90</f>
        <v>3788875</v>
      </c>
      <c r="G90" s="114">
        <f>E90*D90</f>
        <v>3788875</v>
      </c>
      <c r="H90" s="115">
        <f t="shared" si="9"/>
        <v>1</v>
      </c>
    </row>
    <row r="91" spans="1:11" ht="31.5" x14ac:dyDescent="0.25">
      <c r="A91" s="64"/>
      <c r="B91" s="122" t="s">
        <v>73</v>
      </c>
      <c r="C91" s="3">
        <v>1</v>
      </c>
      <c r="D91" s="3">
        <v>0.5</v>
      </c>
      <c r="E91" s="4">
        <v>31423246</v>
      </c>
      <c r="F91" s="4">
        <f>C91*E91</f>
        <v>31423246</v>
      </c>
      <c r="G91" s="114">
        <f>E91*D91</f>
        <v>15711623</v>
      </c>
      <c r="H91" s="115">
        <f t="shared" si="9"/>
        <v>0.5</v>
      </c>
    </row>
    <row r="92" spans="1:11" ht="30" customHeight="1" x14ac:dyDescent="0.25">
      <c r="A92" s="64"/>
      <c r="B92" s="122" t="s">
        <v>74</v>
      </c>
      <c r="C92" s="3">
        <v>1</v>
      </c>
      <c r="D92" s="3"/>
      <c r="E92" s="4">
        <v>9326567</v>
      </c>
      <c r="F92" s="4">
        <f>C92*E92</f>
        <v>9326567</v>
      </c>
      <c r="G92" s="114">
        <f>E92*D92</f>
        <v>0</v>
      </c>
      <c r="H92" s="115">
        <f t="shared" si="9"/>
        <v>0</v>
      </c>
    </row>
    <row r="93" spans="1:11" ht="31.5" x14ac:dyDescent="0.25">
      <c r="A93" s="64"/>
      <c r="B93" s="75" t="s">
        <v>75</v>
      </c>
      <c r="C93" s="3">
        <v>1</v>
      </c>
      <c r="D93" s="3">
        <v>0.89</v>
      </c>
      <c r="E93" s="4">
        <v>9750000</v>
      </c>
      <c r="F93" s="4">
        <f>C93*E93</f>
        <v>9750000</v>
      </c>
      <c r="G93" s="114">
        <f>E93*D93</f>
        <v>8677500</v>
      </c>
      <c r="H93" s="116">
        <f t="shared" si="9"/>
        <v>0.89</v>
      </c>
    </row>
    <row r="94" spans="1:11" x14ac:dyDescent="0.25">
      <c r="A94" s="64"/>
      <c r="B94" s="388" t="s">
        <v>109</v>
      </c>
      <c r="C94" s="388"/>
      <c r="D94" s="388"/>
      <c r="E94" s="388"/>
      <c r="F94" s="69">
        <f>SUM(F89:F93)</f>
        <v>57213477</v>
      </c>
      <c r="G94" s="114">
        <f>SUM(G89:G93)</f>
        <v>31102787</v>
      </c>
      <c r="H94" s="115">
        <f t="shared" si="9"/>
        <v>0.54362693251451921</v>
      </c>
    </row>
    <row r="95" spans="1:11" x14ac:dyDescent="0.25">
      <c r="A95" s="64"/>
      <c r="B95" s="388" t="s">
        <v>76</v>
      </c>
      <c r="C95" s="388"/>
      <c r="D95" s="388"/>
      <c r="E95" s="388"/>
      <c r="F95" s="69">
        <f>F94*0.1925</f>
        <v>11013594.3225</v>
      </c>
      <c r="G95" s="117">
        <f>G94*19.25/100</f>
        <v>5987286.4974999996</v>
      </c>
      <c r="H95" s="115">
        <f t="shared" si="9"/>
        <v>0.54362693251451921</v>
      </c>
    </row>
    <row r="96" spans="1:11" ht="19.5" customHeight="1" x14ac:dyDescent="0.25">
      <c r="A96" s="389" t="s">
        <v>79</v>
      </c>
      <c r="B96" s="390"/>
      <c r="C96" s="390"/>
      <c r="D96" s="390"/>
      <c r="E96" s="391"/>
      <c r="F96" s="76">
        <f>F86+F94+F87</f>
        <v>275342530.94999999</v>
      </c>
      <c r="G96" s="76">
        <f>G86+G94+G87</f>
        <v>203971475</v>
      </c>
      <c r="H96" s="103">
        <f>G96/F96</f>
        <v>0.74079174872202946</v>
      </c>
    </row>
    <row r="97" spans="1:13" x14ac:dyDescent="0.25">
      <c r="A97" s="392" t="s">
        <v>80</v>
      </c>
      <c r="B97" s="393"/>
      <c r="C97" s="394" t="s">
        <v>81</v>
      </c>
      <c r="D97" s="395"/>
      <c r="E97" s="393"/>
      <c r="F97" s="77" t="s">
        <v>82</v>
      </c>
      <c r="G97" s="2"/>
      <c r="H97" s="65"/>
    </row>
    <row r="98" spans="1:13" x14ac:dyDescent="0.25">
      <c r="A98" s="380" t="s">
        <v>83</v>
      </c>
      <c r="B98" s="381"/>
      <c r="C98" s="382" t="s">
        <v>84</v>
      </c>
      <c r="D98" s="382"/>
      <c r="E98" s="382"/>
      <c r="F98" s="78"/>
      <c r="G98" s="79">
        <f>DATE(2013,4,30)</f>
        <v>41394</v>
      </c>
      <c r="H98" s="80">
        <f ca="1">TODAY()</f>
        <v>43780</v>
      </c>
    </row>
    <row r="99" spans="1:13" ht="31.5" x14ac:dyDescent="0.25">
      <c r="A99" s="373"/>
      <c r="B99" s="374"/>
      <c r="C99" s="81"/>
      <c r="D99" s="82"/>
      <c r="E99" s="81"/>
      <c r="F99" s="78"/>
      <c r="G99" s="83" t="s">
        <v>91</v>
      </c>
      <c r="H99" s="84">
        <f ca="1">NETWORKDAYS(G98,H98,5)</f>
        <v>1705</v>
      </c>
    </row>
    <row r="100" spans="1:13" ht="63" x14ac:dyDescent="0.25">
      <c r="A100" s="383" t="s">
        <v>85</v>
      </c>
      <c r="B100" s="384"/>
      <c r="C100" s="384"/>
      <c r="D100" s="384"/>
      <c r="E100" s="384"/>
      <c r="F100" s="78"/>
      <c r="G100" s="77" t="s">
        <v>86</v>
      </c>
      <c r="H100" s="85" t="s">
        <v>158</v>
      </c>
    </row>
    <row r="101" spans="1:13" x14ac:dyDescent="0.25">
      <c r="A101" s="385" t="s">
        <v>87</v>
      </c>
      <c r="B101" s="386"/>
      <c r="C101" s="387" t="s">
        <v>155</v>
      </c>
      <c r="D101" s="387"/>
      <c r="E101" s="387"/>
      <c r="F101" s="78"/>
      <c r="G101" s="86">
        <f ca="1">H99/H101</f>
        <v>9.4722222222222214</v>
      </c>
      <c r="H101" s="87">
        <v>180</v>
      </c>
    </row>
    <row r="102" spans="1:13" x14ac:dyDescent="0.25">
      <c r="A102" s="373"/>
      <c r="B102" s="374"/>
      <c r="C102" s="375">
        <f>K96</f>
        <v>0</v>
      </c>
      <c r="D102" s="375"/>
      <c r="E102" s="375"/>
      <c r="F102" s="78"/>
      <c r="G102" s="376" t="s">
        <v>156</v>
      </c>
      <c r="H102" s="377"/>
    </row>
    <row r="103" spans="1:13" x14ac:dyDescent="0.25">
      <c r="A103" s="88"/>
      <c r="B103" s="89"/>
      <c r="C103" s="89"/>
      <c r="D103" s="89"/>
      <c r="E103" s="78"/>
      <c r="F103" s="78"/>
      <c r="G103" s="378">
        <f ca="1">H101-H99</f>
        <v>-1525</v>
      </c>
      <c r="H103" s="379"/>
    </row>
    <row r="104" spans="1:13" ht="32.25" thickBot="1" x14ac:dyDescent="0.3">
      <c r="A104" s="90"/>
      <c r="B104" s="91"/>
      <c r="C104" s="92"/>
      <c r="D104" s="92"/>
      <c r="E104" s="93"/>
      <c r="F104" s="94"/>
      <c r="G104" s="95" t="s">
        <v>88</v>
      </c>
      <c r="H104" s="96" t="str">
        <f ca="1">IF(G103&gt;0,"pas de pénalité","dans les pénalités")</f>
        <v>dans les pénalités</v>
      </c>
    </row>
    <row r="105" spans="1:13" ht="16.5" thickTop="1" x14ac:dyDescent="0.25"/>
    <row r="107" spans="1:13" x14ac:dyDescent="0.25">
      <c r="G107" s="104"/>
      <c r="I107" s="104"/>
    </row>
    <row r="108" spans="1:13" x14ac:dyDescent="0.25">
      <c r="D108" s="234">
        <f>DATE(2013,4,30)</f>
        <v>41394</v>
      </c>
      <c r="E108" s="235">
        <f>DATE(2013,7,29)</f>
        <v>41484</v>
      </c>
      <c r="G108" s="234">
        <f>DATE(2013,11,21)</f>
        <v>41599</v>
      </c>
      <c r="H108" s="235">
        <f>DATE(2015,10,2)</f>
        <v>42279</v>
      </c>
      <c r="K108" s="234">
        <f>DATE(2016,5,4)</f>
        <v>42494</v>
      </c>
      <c r="L108" s="235">
        <f>DATE(2017,3,15)</f>
        <v>42809</v>
      </c>
    </row>
    <row r="109" spans="1:13" ht="47.25" x14ac:dyDescent="0.25">
      <c r="D109" s="236" t="s">
        <v>199</v>
      </c>
      <c r="E109" s="237">
        <f>NETWORKDAYS(D108,E108,5)</f>
        <v>65</v>
      </c>
      <c r="F109" s="98" t="s">
        <v>248</v>
      </c>
      <c r="G109" s="236" t="s">
        <v>199</v>
      </c>
      <c r="H109" s="237">
        <f>NETWORKDAYS(G108,H108,5)</f>
        <v>487</v>
      </c>
      <c r="I109" s="20" t="s">
        <v>200</v>
      </c>
      <c r="K109" s="236" t="s">
        <v>91</v>
      </c>
      <c r="L109" s="237">
        <f>NETWORKDAYS(K108,L108,5)</f>
        <v>226</v>
      </c>
      <c r="M109" s="20" t="s">
        <v>248</v>
      </c>
    </row>
    <row r="110" spans="1:13" ht="63" x14ac:dyDescent="0.25">
      <c r="D110" s="238" t="s">
        <v>86</v>
      </c>
      <c r="E110" s="239" t="s">
        <v>158</v>
      </c>
      <c r="G110" s="238" t="s">
        <v>86</v>
      </c>
      <c r="H110" s="239" t="s">
        <v>158</v>
      </c>
      <c r="K110" s="238" t="s">
        <v>86</v>
      </c>
      <c r="L110" s="239" t="s">
        <v>158</v>
      </c>
    </row>
    <row r="111" spans="1:13" x14ac:dyDescent="0.25">
      <c r="D111" s="240">
        <f>E109/E111</f>
        <v>1.0833333333333333</v>
      </c>
      <c r="E111" s="241">
        <v>60</v>
      </c>
      <c r="G111" s="240">
        <f>H109/H111</f>
        <v>8.1166666666666671</v>
      </c>
      <c r="H111" s="241">
        <v>60</v>
      </c>
      <c r="K111" s="240">
        <f>L109/L111</f>
        <v>3.7666666666666666</v>
      </c>
      <c r="L111" s="241">
        <v>60</v>
      </c>
    </row>
    <row r="112" spans="1:13" x14ac:dyDescent="0.25">
      <c r="D112" s="396" t="s">
        <v>156</v>
      </c>
      <c r="E112" s="397"/>
      <c r="G112" s="396" t="s">
        <v>156</v>
      </c>
      <c r="H112" s="397"/>
      <c r="K112" s="396" t="s">
        <v>156</v>
      </c>
      <c r="L112" s="397"/>
    </row>
    <row r="113" spans="4:17" x14ac:dyDescent="0.25">
      <c r="D113" s="398">
        <f>E111-E109</f>
        <v>-5</v>
      </c>
      <c r="E113" s="399"/>
      <c r="G113" s="398">
        <f>H111-H109</f>
        <v>-427</v>
      </c>
      <c r="H113" s="399"/>
      <c r="K113" s="398">
        <f>L111-L109</f>
        <v>-166</v>
      </c>
      <c r="L113" s="399"/>
    </row>
    <row r="118" spans="4:17" x14ac:dyDescent="0.25">
      <c r="D118" s="234">
        <f>DATE(2013,7,29)</f>
        <v>41484</v>
      </c>
      <c r="E118" s="235">
        <f>DATE(2013,11,21)</f>
        <v>41599</v>
      </c>
      <c r="G118" s="234">
        <f>DATE(2015,10,2)</f>
        <v>42279</v>
      </c>
      <c r="H118" s="235">
        <f>DATE(2016,2,4)</f>
        <v>42404</v>
      </c>
      <c r="K118" s="234">
        <f>DATE(2016,2,4)</f>
        <v>42404</v>
      </c>
      <c r="L118" s="235">
        <f>DATE(2016,5,4)</f>
        <v>42494</v>
      </c>
      <c r="O118" s="234">
        <f>DATE(2013,11,16)</f>
        <v>41594</v>
      </c>
      <c r="P118" s="235">
        <f>DATE(2013,11,21)</f>
        <v>41599</v>
      </c>
    </row>
    <row r="119" spans="4:17" ht="63" x14ac:dyDescent="0.25">
      <c r="D119" s="236" t="s">
        <v>199</v>
      </c>
      <c r="E119" s="237">
        <f>NETWORKDAYS(D118,E118,5)</f>
        <v>84</v>
      </c>
      <c r="F119" s="325" t="s">
        <v>250</v>
      </c>
      <c r="G119" s="236" t="s">
        <v>199</v>
      </c>
      <c r="H119" s="237">
        <f>NETWORKDAYS(G118,H118,5)</f>
        <v>90</v>
      </c>
      <c r="I119" s="326" t="s">
        <v>249</v>
      </c>
      <c r="K119" s="236" t="s">
        <v>199</v>
      </c>
      <c r="L119" s="237">
        <f>NETWORKDAYS(K118,L118,5)</f>
        <v>65</v>
      </c>
      <c r="M119" s="326" t="s">
        <v>251</v>
      </c>
      <c r="O119" s="236" t="s">
        <v>199</v>
      </c>
      <c r="P119" s="327">
        <f>NETWORKDAYS(O118,P118,5)</f>
        <v>4</v>
      </c>
      <c r="Q119" s="326" t="s">
        <v>250</v>
      </c>
    </row>
    <row r="120" spans="4:17" ht="63" x14ac:dyDescent="0.25">
      <c r="D120" s="238" t="s">
        <v>86</v>
      </c>
      <c r="E120" s="239" t="s">
        <v>158</v>
      </c>
      <c r="G120" s="238" t="s">
        <v>86</v>
      </c>
      <c r="H120" s="239" t="s">
        <v>158</v>
      </c>
      <c r="K120" s="238" t="s">
        <v>86</v>
      </c>
      <c r="L120" s="239" t="s">
        <v>158</v>
      </c>
      <c r="O120" s="238" t="s">
        <v>86</v>
      </c>
      <c r="P120" s="239" t="s">
        <v>158</v>
      </c>
    </row>
    <row r="121" spans="4:17" x14ac:dyDescent="0.25">
      <c r="D121" s="240">
        <f>E119/E121</f>
        <v>1.4</v>
      </c>
      <c r="E121" s="241">
        <v>60</v>
      </c>
      <c r="G121" s="240">
        <f>H119/H121</f>
        <v>1.5</v>
      </c>
      <c r="H121" s="241">
        <v>60</v>
      </c>
      <c r="K121" s="240">
        <f>L119/L121</f>
        <v>1.0833333333333333</v>
      </c>
      <c r="L121" s="241">
        <v>60</v>
      </c>
      <c r="O121" s="240">
        <f>P119/P121</f>
        <v>6.6666666666666666E-2</v>
      </c>
      <c r="P121" s="241">
        <v>60</v>
      </c>
    </row>
    <row r="122" spans="4:17" ht="15.75" customHeight="1" x14ac:dyDescent="0.25">
      <c r="D122" s="396" t="s">
        <v>156</v>
      </c>
      <c r="E122" s="397"/>
      <c r="G122" s="396" t="s">
        <v>156</v>
      </c>
      <c r="H122" s="397"/>
      <c r="K122" s="396" t="s">
        <v>156</v>
      </c>
      <c r="L122" s="397"/>
      <c r="O122" s="396" t="s">
        <v>156</v>
      </c>
      <c r="P122" s="397"/>
    </row>
    <row r="123" spans="4:17" x14ac:dyDescent="0.25">
      <c r="D123" s="398">
        <f>E121-E119</f>
        <v>-24</v>
      </c>
      <c r="E123" s="399"/>
      <c r="G123" s="398">
        <f>H121-H119</f>
        <v>-30</v>
      </c>
      <c r="H123" s="399"/>
      <c r="K123" s="398">
        <f>L121-L119</f>
        <v>-5</v>
      </c>
      <c r="L123" s="399"/>
      <c r="O123" s="398">
        <f>P121-P119</f>
        <v>56</v>
      </c>
      <c r="P123" s="399"/>
    </row>
  </sheetData>
  <mergeCells count="48">
    <mergeCell ref="O122:P122"/>
    <mergeCell ref="O123:P123"/>
    <mergeCell ref="D122:E122"/>
    <mergeCell ref="D123:E123"/>
    <mergeCell ref="G122:H122"/>
    <mergeCell ref="G123:H123"/>
    <mergeCell ref="K122:L122"/>
    <mergeCell ref="K123:L123"/>
    <mergeCell ref="K112:L112"/>
    <mergeCell ref="K113:L113"/>
    <mergeCell ref="D112:E112"/>
    <mergeCell ref="D113:E113"/>
    <mergeCell ref="G113:H113"/>
    <mergeCell ref="B18:E18"/>
    <mergeCell ref="B82:E82"/>
    <mergeCell ref="B19:G19"/>
    <mergeCell ref="B22:E22"/>
    <mergeCell ref="B23:G23"/>
    <mergeCell ref="B28:E28"/>
    <mergeCell ref="B30:G30"/>
    <mergeCell ref="B42:E42"/>
    <mergeCell ref="B44:G44"/>
    <mergeCell ref="B49:E49"/>
    <mergeCell ref="B57:E57"/>
    <mergeCell ref="B64:E64"/>
    <mergeCell ref="B80:E80"/>
    <mergeCell ref="A1:E1"/>
    <mergeCell ref="G1:G2"/>
    <mergeCell ref="H1:H2"/>
    <mergeCell ref="A3:H3"/>
    <mergeCell ref="B4:G4"/>
    <mergeCell ref="B85:E85"/>
    <mergeCell ref="B94:E94"/>
    <mergeCell ref="B95:E95"/>
    <mergeCell ref="A96:E96"/>
    <mergeCell ref="A97:B97"/>
    <mergeCell ref="C97:E97"/>
    <mergeCell ref="A98:B98"/>
    <mergeCell ref="C98:E98"/>
    <mergeCell ref="A99:B99"/>
    <mergeCell ref="A100:E100"/>
    <mergeCell ref="A101:B101"/>
    <mergeCell ref="C101:E101"/>
    <mergeCell ref="A102:B102"/>
    <mergeCell ref="C102:E102"/>
    <mergeCell ref="G102:H102"/>
    <mergeCell ref="G103:H103"/>
    <mergeCell ref="G112:H1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A106" zoomScaleNormal="100" workbookViewId="0">
      <selection activeCell="H109" sqref="H109"/>
    </sheetView>
  </sheetViews>
  <sheetFormatPr baseColWidth="10" defaultRowHeight="15.75" x14ac:dyDescent="0.25"/>
  <cols>
    <col min="1" max="1" width="6.5703125" style="20" customWidth="1"/>
    <col min="2" max="2" width="23" style="20" customWidth="1"/>
    <col min="3" max="3" width="6.5703125" style="97" customWidth="1"/>
    <col min="4" max="4" width="14.85546875" style="97" customWidth="1"/>
    <col min="5" max="5" width="16.28515625" style="98" customWidth="1"/>
    <col min="6" max="6" width="19.28515625" style="98" customWidth="1"/>
    <col min="7" max="7" width="19.28515625" style="20" customWidth="1"/>
    <col min="8" max="8" width="13.140625" style="20" customWidth="1"/>
    <col min="9" max="9" width="12.5703125" style="20" customWidth="1"/>
    <col min="10" max="10" width="11.42578125" style="20"/>
    <col min="11" max="11" width="17.28515625" style="20" bestFit="1" customWidth="1"/>
    <col min="12" max="16384" width="11.42578125" style="20"/>
  </cols>
  <sheetData>
    <row r="1" spans="1:8" ht="16.5" thickTop="1" x14ac:dyDescent="0.25">
      <c r="A1" s="400" t="s">
        <v>77</v>
      </c>
      <c r="B1" s="401"/>
      <c r="C1" s="401"/>
      <c r="D1" s="401"/>
      <c r="E1" s="401"/>
      <c r="F1" s="58">
        <f ca="1">TODAY()</f>
        <v>43780</v>
      </c>
      <c r="G1" s="402" t="s">
        <v>78</v>
      </c>
      <c r="H1" s="404" t="s">
        <v>90</v>
      </c>
    </row>
    <row r="2" spans="1:8" s="63" customFormat="1" ht="47.25" x14ac:dyDescent="0.25">
      <c r="A2" s="59" t="s">
        <v>0</v>
      </c>
      <c r="B2" s="60" t="s">
        <v>2</v>
      </c>
      <c r="C2" s="60" t="s">
        <v>1</v>
      </c>
      <c r="D2" s="255" t="s">
        <v>89</v>
      </c>
      <c r="E2" s="62" t="s">
        <v>3</v>
      </c>
      <c r="F2" s="62" t="s">
        <v>93</v>
      </c>
      <c r="G2" s="403"/>
      <c r="H2" s="405"/>
    </row>
    <row r="3" spans="1:8" x14ac:dyDescent="0.25">
      <c r="A3" s="406" t="s">
        <v>4</v>
      </c>
      <c r="B3" s="388"/>
      <c r="C3" s="388"/>
      <c r="D3" s="388"/>
      <c r="E3" s="388"/>
      <c r="F3" s="388"/>
      <c r="G3" s="388"/>
      <c r="H3" s="407"/>
    </row>
    <row r="4" spans="1:8" x14ac:dyDescent="0.25">
      <c r="A4" s="64"/>
      <c r="B4" s="388" t="s">
        <v>5</v>
      </c>
      <c r="C4" s="388"/>
      <c r="D4" s="388"/>
      <c r="E4" s="388"/>
      <c r="F4" s="388"/>
      <c r="G4" s="388"/>
      <c r="H4" s="65"/>
    </row>
    <row r="5" spans="1:8" ht="31.5" x14ac:dyDescent="0.25">
      <c r="A5" s="64"/>
      <c r="B5" s="66" t="s">
        <v>160</v>
      </c>
      <c r="C5" s="3">
        <v>3</v>
      </c>
      <c r="D5" s="3">
        <v>3</v>
      </c>
      <c r="E5" s="4">
        <v>4426296</v>
      </c>
      <c r="F5" s="4">
        <f>C5*E5</f>
        <v>13278888</v>
      </c>
      <c r="G5" s="67">
        <f>D5*E5</f>
        <v>13278888</v>
      </c>
      <c r="H5" s="68">
        <f>G5/F5</f>
        <v>1</v>
      </c>
    </row>
    <row r="6" spans="1:8" x14ac:dyDescent="0.25">
      <c r="A6" s="64"/>
      <c r="B6" s="66" t="s">
        <v>6</v>
      </c>
      <c r="C6" s="3">
        <v>3</v>
      </c>
      <c r="D6" s="3">
        <v>3</v>
      </c>
      <c r="E6" s="4">
        <v>5305574</v>
      </c>
      <c r="F6" s="4">
        <f>C6*E6</f>
        <v>15916722</v>
      </c>
      <c r="G6" s="67">
        <f>D6*E6</f>
        <v>15916722</v>
      </c>
      <c r="H6" s="68">
        <f>G6/F6</f>
        <v>1</v>
      </c>
    </row>
    <row r="7" spans="1:8" ht="31.5" x14ac:dyDescent="0.25">
      <c r="A7" s="64"/>
      <c r="B7" s="66" t="s">
        <v>7</v>
      </c>
      <c r="C7" s="3">
        <v>3</v>
      </c>
      <c r="D7" s="3">
        <v>3</v>
      </c>
      <c r="E7" s="4">
        <v>7500778</v>
      </c>
      <c r="F7" s="4">
        <f>C7*E7</f>
        <v>22502334</v>
      </c>
      <c r="G7" s="67">
        <f>D7*E7</f>
        <v>22502334</v>
      </c>
      <c r="H7" s="68">
        <f>G7/F7</f>
        <v>1</v>
      </c>
    </row>
    <row r="8" spans="1:8" ht="16.5" x14ac:dyDescent="0.25">
      <c r="A8" s="64"/>
      <c r="B8" s="1" t="s">
        <v>8</v>
      </c>
      <c r="C8" s="3"/>
      <c r="D8" s="3"/>
      <c r="E8" s="4"/>
      <c r="F8" s="69">
        <f>SUM(F5:F7)</f>
        <v>51697944</v>
      </c>
      <c r="G8" s="70">
        <f>SUM(G5:G7)</f>
        <v>51697944</v>
      </c>
      <c r="H8" s="71">
        <f>G8/F8</f>
        <v>1</v>
      </c>
    </row>
    <row r="9" spans="1:8" x14ac:dyDescent="0.25">
      <c r="A9" s="64"/>
      <c r="B9" s="2"/>
      <c r="C9" s="3"/>
      <c r="D9" s="3"/>
      <c r="E9" s="4"/>
      <c r="F9" s="4"/>
      <c r="G9" s="2"/>
      <c r="H9" s="65"/>
    </row>
    <row r="10" spans="1:8" x14ac:dyDescent="0.25">
      <c r="A10" s="64"/>
      <c r="B10" s="1" t="s">
        <v>9</v>
      </c>
      <c r="C10" s="3"/>
      <c r="D10" s="3"/>
      <c r="E10" s="4"/>
      <c r="F10" s="4"/>
      <c r="G10" s="2"/>
      <c r="H10" s="65"/>
    </row>
    <row r="11" spans="1:8" x14ac:dyDescent="0.25">
      <c r="A11" s="64"/>
      <c r="B11" s="2" t="s">
        <v>10</v>
      </c>
      <c r="C11" s="3">
        <v>1</v>
      </c>
      <c r="D11" s="3">
        <v>1</v>
      </c>
      <c r="E11" s="72">
        <v>17944444</v>
      </c>
      <c r="F11" s="4">
        <f>C11*E11</f>
        <v>17944444</v>
      </c>
      <c r="G11" s="67">
        <f>D11*E11</f>
        <v>17944444</v>
      </c>
      <c r="H11" s="68">
        <f>G11/F11</f>
        <v>1</v>
      </c>
    </row>
    <row r="12" spans="1:8" x14ac:dyDescent="0.25">
      <c r="A12" s="64"/>
      <c r="B12" s="2" t="s">
        <v>11</v>
      </c>
      <c r="C12" s="3">
        <v>1</v>
      </c>
      <c r="D12" s="3">
        <v>1</v>
      </c>
      <c r="E12" s="4">
        <v>2691667</v>
      </c>
      <c r="F12" s="4">
        <f t="shared" ref="F12:F17" si="0">C12*E12</f>
        <v>2691667</v>
      </c>
      <c r="G12" s="67">
        <f t="shared" ref="G12:G17" si="1">D12*E12</f>
        <v>2691667</v>
      </c>
      <c r="H12" s="68">
        <f t="shared" ref="H12:H18" si="2">G12/F12</f>
        <v>1</v>
      </c>
    </row>
    <row r="13" spans="1:8" x14ac:dyDescent="0.25">
      <c r="A13" s="64"/>
      <c r="B13" s="2" t="s">
        <v>12</v>
      </c>
      <c r="C13" s="3">
        <v>1</v>
      </c>
      <c r="D13" s="3">
        <v>1</v>
      </c>
      <c r="E13" s="4">
        <v>1940991</v>
      </c>
      <c r="F13" s="4">
        <f t="shared" si="0"/>
        <v>1940991</v>
      </c>
      <c r="G13" s="67">
        <f t="shared" si="1"/>
        <v>1940991</v>
      </c>
      <c r="H13" s="68">
        <f t="shared" si="2"/>
        <v>1</v>
      </c>
    </row>
    <row r="14" spans="1:8" x14ac:dyDescent="0.25">
      <c r="A14" s="64"/>
      <c r="B14" s="2" t="s">
        <v>13</v>
      </c>
      <c r="C14" s="3">
        <v>1</v>
      </c>
      <c r="D14" s="3">
        <v>1</v>
      </c>
      <c r="E14" s="4">
        <v>1705320</v>
      </c>
      <c r="F14" s="4">
        <f t="shared" si="0"/>
        <v>1705320</v>
      </c>
      <c r="G14" s="67">
        <f t="shared" si="1"/>
        <v>1705320</v>
      </c>
      <c r="H14" s="68">
        <f t="shared" si="2"/>
        <v>1</v>
      </c>
    </row>
    <row r="15" spans="1:8" x14ac:dyDescent="0.25">
      <c r="A15" s="64"/>
      <c r="B15" s="2" t="s">
        <v>14</v>
      </c>
      <c r="C15" s="3">
        <v>1</v>
      </c>
      <c r="D15" s="3">
        <v>1</v>
      </c>
      <c r="E15" s="4">
        <v>1046759</v>
      </c>
      <c r="F15" s="4">
        <f t="shared" si="0"/>
        <v>1046759</v>
      </c>
      <c r="G15" s="67">
        <f t="shared" si="1"/>
        <v>1046759</v>
      </c>
      <c r="H15" s="68">
        <f t="shared" si="2"/>
        <v>1</v>
      </c>
    </row>
    <row r="16" spans="1:8" x14ac:dyDescent="0.25">
      <c r="A16" s="64"/>
      <c r="B16" s="2" t="s">
        <v>176</v>
      </c>
      <c r="C16" s="3">
        <v>3</v>
      </c>
      <c r="D16" s="3">
        <v>3</v>
      </c>
      <c r="E16" s="4">
        <v>2135389</v>
      </c>
      <c r="F16" s="4">
        <f t="shared" si="0"/>
        <v>6406167</v>
      </c>
      <c r="G16" s="67">
        <f t="shared" si="1"/>
        <v>6406167</v>
      </c>
      <c r="H16" s="68">
        <f t="shared" si="2"/>
        <v>1</v>
      </c>
    </row>
    <row r="17" spans="1:8" x14ac:dyDescent="0.25">
      <c r="A17" s="64"/>
      <c r="B17" s="2" t="s">
        <v>15</v>
      </c>
      <c r="C17" s="3">
        <v>5</v>
      </c>
      <c r="D17" s="3">
        <v>5</v>
      </c>
      <c r="E17" s="4">
        <v>323000</v>
      </c>
      <c r="F17" s="4">
        <f t="shared" si="0"/>
        <v>1615000</v>
      </c>
      <c r="G17" s="67">
        <f t="shared" si="1"/>
        <v>1615000</v>
      </c>
      <c r="H17" s="68">
        <f t="shared" si="2"/>
        <v>1</v>
      </c>
    </row>
    <row r="18" spans="1:8" ht="16.5" x14ac:dyDescent="0.25">
      <c r="A18" s="64"/>
      <c r="B18" s="388" t="s">
        <v>16</v>
      </c>
      <c r="C18" s="388"/>
      <c r="D18" s="388"/>
      <c r="E18" s="388"/>
      <c r="F18" s="69">
        <f>SUM(F11:F17)</f>
        <v>33350348</v>
      </c>
      <c r="G18" s="70">
        <f>SUM(G11:G17)</f>
        <v>33350348</v>
      </c>
      <c r="H18" s="71">
        <f t="shared" si="2"/>
        <v>1</v>
      </c>
    </row>
    <row r="19" spans="1:8" x14ac:dyDescent="0.25">
      <c r="A19" s="64"/>
      <c r="B19" s="388" t="s">
        <v>17</v>
      </c>
      <c r="C19" s="388"/>
      <c r="D19" s="388"/>
      <c r="E19" s="388"/>
      <c r="F19" s="388"/>
      <c r="G19" s="388"/>
      <c r="H19" s="65"/>
    </row>
    <row r="20" spans="1:8" x14ac:dyDescent="0.25">
      <c r="A20" s="64"/>
      <c r="B20" s="2" t="s">
        <v>18</v>
      </c>
      <c r="C20" s="3">
        <v>2</v>
      </c>
      <c r="D20" s="3">
        <v>2</v>
      </c>
      <c r="E20" s="4">
        <v>3887963</v>
      </c>
      <c r="F20" s="4">
        <f>C20*E20</f>
        <v>7775926</v>
      </c>
      <c r="G20" s="67">
        <f>D20*E20</f>
        <v>7775926</v>
      </c>
      <c r="H20" s="68">
        <f>G20/F20</f>
        <v>1</v>
      </c>
    </row>
    <row r="21" spans="1:8" ht="47.25" x14ac:dyDescent="0.25">
      <c r="A21" s="64"/>
      <c r="B21" s="66" t="s">
        <v>153</v>
      </c>
      <c r="C21" s="3">
        <v>2</v>
      </c>
      <c r="D21" s="3">
        <v>2</v>
      </c>
      <c r="E21" s="4">
        <v>5383333</v>
      </c>
      <c r="F21" s="4">
        <f>C21*E21</f>
        <v>10766666</v>
      </c>
      <c r="G21" s="67">
        <f>D21*E21</f>
        <v>10766666</v>
      </c>
      <c r="H21" s="68">
        <f>G21/F21</f>
        <v>1</v>
      </c>
    </row>
    <row r="22" spans="1:8" ht="16.5" x14ac:dyDescent="0.25">
      <c r="A22" s="64"/>
      <c r="B22" s="388" t="s">
        <v>19</v>
      </c>
      <c r="C22" s="388"/>
      <c r="D22" s="388"/>
      <c r="E22" s="388"/>
      <c r="F22" s="69">
        <f>SUM(F20:F21)</f>
        <v>18542592</v>
      </c>
      <c r="G22" s="70">
        <f>SUM(G20:G21)</f>
        <v>18542592</v>
      </c>
      <c r="H22" s="71">
        <f>G22/F22</f>
        <v>1</v>
      </c>
    </row>
    <row r="23" spans="1:8" x14ac:dyDescent="0.25">
      <c r="A23" s="64"/>
      <c r="B23" s="388" t="s">
        <v>20</v>
      </c>
      <c r="C23" s="388"/>
      <c r="D23" s="388"/>
      <c r="E23" s="388"/>
      <c r="F23" s="388"/>
      <c r="G23" s="388"/>
      <c r="H23" s="65"/>
    </row>
    <row r="24" spans="1:8" x14ac:dyDescent="0.25">
      <c r="A24" s="64"/>
      <c r="B24" s="257" t="s">
        <v>21</v>
      </c>
      <c r="C24" s="3">
        <v>4</v>
      </c>
      <c r="D24" s="3">
        <v>4</v>
      </c>
      <c r="E24" s="4">
        <v>193800</v>
      </c>
      <c r="F24" s="4">
        <f>C24*E24</f>
        <v>775200</v>
      </c>
      <c r="G24" s="67">
        <f>D24*E24</f>
        <v>775200</v>
      </c>
      <c r="H24" s="68">
        <f>G24/F24</f>
        <v>1</v>
      </c>
    </row>
    <row r="25" spans="1:8" x14ac:dyDescent="0.25">
      <c r="A25" s="64"/>
      <c r="B25" s="256" t="s">
        <v>22</v>
      </c>
      <c r="C25" s="3">
        <v>4</v>
      </c>
      <c r="D25" s="3">
        <v>3</v>
      </c>
      <c r="E25" s="4">
        <v>93311</v>
      </c>
      <c r="F25" s="4">
        <f>C25*E25</f>
        <v>373244</v>
      </c>
      <c r="G25" s="67">
        <f>D25*E25</f>
        <v>279933</v>
      </c>
      <c r="H25" s="68">
        <f>G25/F25</f>
        <v>0.75</v>
      </c>
    </row>
    <row r="26" spans="1:8" x14ac:dyDescent="0.25">
      <c r="A26" s="64"/>
      <c r="B26" s="2" t="s">
        <v>23</v>
      </c>
      <c r="C26" s="3">
        <v>3</v>
      </c>
      <c r="D26" s="3">
        <v>3</v>
      </c>
      <c r="E26" s="4">
        <v>260194</v>
      </c>
      <c r="F26" s="4">
        <f>E26*C26</f>
        <v>780582</v>
      </c>
      <c r="G26" s="67">
        <f>D26*E26</f>
        <v>780582</v>
      </c>
      <c r="H26" s="68">
        <f>G26/F26</f>
        <v>1</v>
      </c>
    </row>
    <row r="27" spans="1:8" x14ac:dyDescent="0.25">
      <c r="A27" s="64"/>
      <c r="B27" s="1" t="s">
        <v>24</v>
      </c>
      <c r="C27" s="3"/>
      <c r="D27" s="3"/>
      <c r="E27" s="4"/>
      <c r="F27" s="69">
        <f>SUM(F24:F26)</f>
        <v>1929026</v>
      </c>
      <c r="G27" s="67">
        <f>SUM(G24:G26)</f>
        <v>1835715</v>
      </c>
      <c r="H27" s="68">
        <f>G27/F27</f>
        <v>0.95162791999693108</v>
      </c>
    </row>
    <row r="28" spans="1:8" ht="16.5" x14ac:dyDescent="0.25">
      <c r="A28" s="64"/>
      <c r="B28" s="388" t="s">
        <v>25</v>
      </c>
      <c r="C28" s="388"/>
      <c r="D28" s="388"/>
      <c r="E28" s="388"/>
      <c r="F28" s="69">
        <f>F8+F18+F22+F27</f>
        <v>105519910</v>
      </c>
      <c r="G28" s="70">
        <f>G27+G22+G18+G8</f>
        <v>105426599</v>
      </c>
      <c r="H28" s="71">
        <f>G28/F28</f>
        <v>0.99911570242999637</v>
      </c>
    </row>
    <row r="29" spans="1:8" x14ac:dyDescent="0.25">
      <c r="A29" s="64"/>
      <c r="B29" s="2"/>
      <c r="C29" s="3"/>
      <c r="D29" s="3"/>
      <c r="E29" s="4"/>
      <c r="F29" s="4"/>
      <c r="G29" s="2"/>
      <c r="H29" s="65"/>
    </row>
    <row r="30" spans="1:8" x14ac:dyDescent="0.25">
      <c r="A30" s="64"/>
      <c r="B30" s="388" t="s">
        <v>26</v>
      </c>
      <c r="C30" s="388"/>
      <c r="D30" s="388"/>
      <c r="E30" s="388"/>
      <c r="F30" s="388"/>
      <c r="G30" s="388"/>
      <c r="H30" s="65"/>
    </row>
    <row r="31" spans="1:8" x14ac:dyDescent="0.25">
      <c r="A31" s="64"/>
      <c r="B31" s="2" t="s">
        <v>27</v>
      </c>
      <c r="C31" s="3">
        <v>1</v>
      </c>
      <c r="D31" s="3">
        <v>1</v>
      </c>
      <c r="E31" s="4">
        <v>1046759</v>
      </c>
      <c r="F31" s="4">
        <f>C31*E31</f>
        <v>1046759</v>
      </c>
      <c r="G31" s="67">
        <f t="shared" ref="G31:G41" si="3">D31*E31</f>
        <v>1046759</v>
      </c>
      <c r="H31" s="68">
        <f t="shared" ref="H31:H41" si="4">G31/F31</f>
        <v>1</v>
      </c>
    </row>
    <row r="32" spans="1:8" ht="31.5" x14ac:dyDescent="0.25">
      <c r="A32" s="64"/>
      <c r="B32" s="66" t="s">
        <v>174</v>
      </c>
      <c r="C32" s="3">
        <v>2</v>
      </c>
      <c r="D32" s="3">
        <v>2</v>
      </c>
      <c r="E32" s="4">
        <v>1943981</v>
      </c>
      <c r="F32" s="4">
        <f t="shared" ref="F32:F41" si="5">C32*E32</f>
        <v>3887962</v>
      </c>
      <c r="G32" s="67">
        <f t="shared" si="3"/>
        <v>3887962</v>
      </c>
      <c r="H32" s="68">
        <f t="shared" si="4"/>
        <v>1</v>
      </c>
    </row>
    <row r="33" spans="1:8" ht="31.5" x14ac:dyDescent="0.25">
      <c r="A33" s="64"/>
      <c r="B33" s="66" t="s">
        <v>28</v>
      </c>
      <c r="C33" s="3">
        <v>8</v>
      </c>
      <c r="D33" s="3">
        <v>8</v>
      </c>
      <c r="E33" s="4">
        <v>265457</v>
      </c>
      <c r="F33" s="4">
        <f>C33*E33</f>
        <v>2123656</v>
      </c>
      <c r="G33" s="67">
        <f t="shared" si="3"/>
        <v>2123656</v>
      </c>
      <c r="H33" s="68">
        <f t="shared" si="4"/>
        <v>1</v>
      </c>
    </row>
    <row r="34" spans="1:8" x14ac:dyDescent="0.25">
      <c r="A34" s="64"/>
      <c r="B34" s="2" t="s">
        <v>29</v>
      </c>
      <c r="C34" s="3">
        <v>3</v>
      </c>
      <c r="D34" s="3">
        <v>3</v>
      </c>
      <c r="E34" s="4">
        <v>1046759</v>
      </c>
      <c r="F34" s="4">
        <f t="shared" si="5"/>
        <v>3140277</v>
      </c>
      <c r="G34" s="67">
        <f t="shared" si="3"/>
        <v>3140277</v>
      </c>
      <c r="H34" s="68">
        <f t="shared" si="4"/>
        <v>1</v>
      </c>
    </row>
    <row r="35" spans="1:8" ht="31.5" x14ac:dyDescent="0.25">
      <c r="A35" s="64"/>
      <c r="B35" s="66" t="s">
        <v>30</v>
      </c>
      <c r="C35" s="3">
        <v>1</v>
      </c>
      <c r="D35" s="3">
        <v>1</v>
      </c>
      <c r="E35" s="4">
        <v>2213148</v>
      </c>
      <c r="F35" s="4">
        <f t="shared" si="5"/>
        <v>2213148</v>
      </c>
      <c r="G35" s="67">
        <f t="shared" si="3"/>
        <v>2213148</v>
      </c>
      <c r="H35" s="68">
        <f t="shared" si="4"/>
        <v>1</v>
      </c>
    </row>
    <row r="36" spans="1:8" ht="47.25" x14ac:dyDescent="0.25">
      <c r="A36" s="64"/>
      <c r="B36" s="66" t="s">
        <v>31</v>
      </c>
      <c r="C36" s="3">
        <v>1</v>
      </c>
      <c r="D36" s="3">
        <v>1</v>
      </c>
      <c r="E36" s="4">
        <v>2990741</v>
      </c>
      <c r="F36" s="4">
        <f t="shared" si="5"/>
        <v>2990741</v>
      </c>
      <c r="G36" s="67">
        <f t="shared" si="3"/>
        <v>2990741</v>
      </c>
      <c r="H36" s="68">
        <f t="shared" si="4"/>
        <v>1</v>
      </c>
    </row>
    <row r="37" spans="1:8" ht="31.5" x14ac:dyDescent="0.25">
      <c r="A37" s="64"/>
      <c r="B37" s="66" t="s">
        <v>32</v>
      </c>
      <c r="C37" s="3">
        <v>1</v>
      </c>
      <c r="D37" s="3">
        <v>1</v>
      </c>
      <c r="E37" s="4">
        <v>2762963</v>
      </c>
      <c r="F37" s="4">
        <f t="shared" si="5"/>
        <v>2762963</v>
      </c>
      <c r="G37" s="67">
        <f t="shared" si="3"/>
        <v>2762963</v>
      </c>
      <c r="H37" s="68">
        <f t="shared" si="4"/>
        <v>1</v>
      </c>
    </row>
    <row r="38" spans="1:8" ht="31.5" x14ac:dyDescent="0.25">
      <c r="A38" s="64"/>
      <c r="B38" s="66" t="s">
        <v>33</v>
      </c>
      <c r="C38" s="3">
        <v>1</v>
      </c>
      <c r="D38" s="3">
        <v>1</v>
      </c>
      <c r="E38" s="4">
        <v>2063611</v>
      </c>
      <c r="F38" s="4">
        <f t="shared" si="5"/>
        <v>2063611</v>
      </c>
      <c r="G38" s="67">
        <f t="shared" si="3"/>
        <v>2063611</v>
      </c>
      <c r="H38" s="68">
        <f t="shared" si="4"/>
        <v>1</v>
      </c>
    </row>
    <row r="39" spans="1:8" x14ac:dyDescent="0.25">
      <c r="A39" s="64"/>
      <c r="B39" s="2" t="s">
        <v>34</v>
      </c>
      <c r="C39" s="3">
        <v>2</v>
      </c>
      <c r="D39" s="3">
        <v>2</v>
      </c>
      <c r="E39" s="4">
        <v>1088630</v>
      </c>
      <c r="F39" s="4">
        <f t="shared" si="5"/>
        <v>2177260</v>
      </c>
      <c r="G39" s="67">
        <f t="shared" si="3"/>
        <v>2177260</v>
      </c>
      <c r="H39" s="68">
        <f t="shared" si="4"/>
        <v>1</v>
      </c>
    </row>
    <row r="40" spans="1:8" x14ac:dyDescent="0.25">
      <c r="A40" s="64"/>
      <c r="B40" s="2" t="s">
        <v>35</v>
      </c>
      <c r="C40" s="3">
        <v>2</v>
      </c>
      <c r="D40" s="3">
        <v>2</v>
      </c>
      <c r="E40" s="4">
        <v>508426</v>
      </c>
      <c r="F40" s="4">
        <f t="shared" si="5"/>
        <v>1016852</v>
      </c>
      <c r="G40" s="67">
        <f t="shared" si="3"/>
        <v>1016852</v>
      </c>
      <c r="H40" s="68">
        <f t="shared" si="4"/>
        <v>1</v>
      </c>
    </row>
    <row r="41" spans="1:8" x14ac:dyDescent="0.25">
      <c r="A41" s="64"/>
      <c r="B41" s="2" t="s">
        <v>36</v>
      </c>
      <c r="C41" s="3">
        <v>2</v>
      </c>
      <c r="D41" s="3">
        <v>2</v>
      </c>
      <c r="E41" s="4">
        <v>2930926</v>
      </c>
      <c r="F41" s="4">
        <f t="shared" si="5"/>
        <v>5861852</v>
      </c>
      <c r="G41" s="67">
        <f t="shared" si="3"/>
        <v>5861852</v>
      </c>
      <c r="H41" s="68">
        <f t="shared" si="4"/>
        <v>1</v>
      </c>
    </row>
    <row r="42" spans="1:8" ht="16.5" x14ac:dyDescent="0.25">
      <c r="A42" s="64"/>
      <c r="B42" s="388" t="s">
        <v>37</v>
      </c>
      <c r="C42" s="388"/>
      <c r="D42" s="388"/>
      <c r="E42" s="388"/>
      <c r="F42" s="69">
        <f>SUM(F31:F41)</f>
        <v>29285081</v>
      </c>
      <c r="G42" s="70">
        <f>SUM(G31:G41)</f>
        <v>29285081</v>
      </c>
      <c r="H42" s="71">
        <f>G42/F42</f>
        <v>1</v>
      </c>
    </row>
    <row r="43" spans="1:8" x14ac:dyDescent="0.25">
      <c r="A43" s="64"/>
      <c r="B43" s="2"/>
      <c r="C43" s="3"/>
      <c r="D43" s="3"/>
      <c r="E43" s="4"/>
      <c r="F43" s="4"/>
      <c r="G43" s="2"/>
      <c r="H43" s="65"/>
    </row>
    <row r="44" spans="1:8" x14ac:dyDescent="0.25">
      <c r="A44" s="64"/>
      <c r="B44" s="388" t="s">
        <v>38</v>
      </c>
      <c r="C44" s="388"/>
      <c r="D44" s="388"/>
      <c r="E44" s="388"/>
      <c r="F44" s="388"/>
      <c r="G44" s="388"/>
      <c r="H44" s="65"/>
    </row>
    <row r="45" spans="1:8" x14ac:dyDescent="0.25">
      <c r="A45" s="64"/>
      <c r="B45" s="2" t="s">
        <v>39</v>
      </c>
      <c r="C45" s="3"/>
      <c r="D45" s="3"/>
      <c r="E45" s="4"/>
      <c r="F45" s="4"/>
      <c r="G45" s="2"/>
      <c r="H45" s="65"/>
    </row>
    <row r="46" spans="1:8" x14ac:dyDescent="0.25">
      <c r="A46" s="64"/>
      <c r="B46" s="2" t="s">
        <v>40</v>
      </c>
      <c r="C46" s="3">
        <v>1</v>
      </c>
      <c r="D46" s="3">
        <v>1</v>
      </c>
      <c r="E46" s="4">
        <v>1196296</v>
      </c>
      <c r="F46" s="4">
        <f>C46*E46</f>
        <v>1196296</v>
      </c>
      <c r="G46" s="67">
        <f>D46*E46</f>
        <v>1196296</v>
      </c>
      <c r="H46" s="68">
        <f>G46/F46</f>
        <v>1</v>
      </c>
    </row>
    <row r="47" spans="1:8" x14ac:dyDescent="0.25">
      <c r="A47" s="64"/>
      <c r="B47" s="2" t="s">
        <v>41</v>
      </c>
      <c r="C47" s="3">
        <v>1</v>
      </c>
      <c r="D47" s="3">
        <v>1</v>
      </c>
      <c r="E47" s="4">
        <v>598148</v>
      </c>
      <c r="F47" s="4" t="s">
        <v>190</v>
      </c>
      <c r="G47" s="67">
        <f>D47*E47</f>
        <v>598148</v>
      </c>
      <c r="H47" s="68" t="e">
        <f>G47/F47</f>
        <v>#VALUE!</v>
      </c>
    </row>
    <row r="48" spans="1:8" x14ac:dyDescent="0.25">
      <c r="A48" s="64"/>
      <c r="B48" s="2" t="s">
        <v>42</v>
      </c>
      <c r="C48" s="3">
        <v>1</v>
      </c>
      <c r="D48" s="3">
        <v>1</v>
      </c>
      <c r="E48" s="4">
        <v>598148</v>
      </c>
      <c r="F48" s="4">
        <f>C48*E48</f>
        <v>598148</v>
      </c>
      <c r="G48" s="67">
        <f>D48*E48</f>
        <v>598148</v>
      </c>
      <c r="H48" s="68">
        <f>G48/F48</f>
        <v>1</v>
      </c>
    </row>
    <row r="49" spans="1:8" ht="16.5" x14ac:dyDescent="0.25">
      <c r="A49" s="64"/>
      <c r="B49" s="388" t="s">
        <v>43</v>
      </c>
      <c r="C49" s="388"/>
      <c r="D49" s="388"/>
      <c r="E49" s="388"/>
      <c r="F49" s="69">
        <f>SUM(F46:F48)</f>
        <v>1794444</v>
      </c>
      <c r="G49" s="70">
        <f>SUM(G46:G48)</f>
        <v>2392592</v>
      </c>
      <c r="H49" s="71">
        <f>G49/F49</f>
        <v>1.3333333333333333</v>
      </c>
    </row>
    <row r="50" spans="1:8" x14ac:dyDescent="0.25">
      <c r="A50" s="64"/>
      <c r="B50" s="1" t="s">
        <v>44</v>
      </c>
      <c r="C50" s="3"/>
      <c r="D50" s="3"/>
      <c r="E50" s="4"/>
      <c r="F50" s="4"/>
      <c r="G50" s="2"/>
      <c r="H50" s="65"/>
    </row>
    <row r="51" spans="1:8" x14ac:dyDescent="0.25">
      <c r="A51" s="64"/>
      <c r="B51" s="1" t="s">
        <v>92</v>
      </c>
      <c r="C51" s="3"/>
      <c r="D51" s="3"/>
      <c r="E51" s="4"/>
      <c r="F51" s="4"/>
      <c r="G51" s="2"/>
      <c r="H51" s="65"/>
    </row>
    <row r="52" spans="1:8" x14ac:dyDescent="0.25">
      <c r="A52" s="64"/>
      <c r="B52" s="2" t="s">
        <v>45</v>
      </c>
      <c r="C52" s="3">
        <v>12</v>
      </c>
      <c r="D52" s="3">
        <v>12</v>
      </c>
      <c r="E52" s="4">
        <v>89722</v>
      </c>
      <c r="F52" s="4">
        <f>C52*E52</f>
        <v>1076664</v>
      </c>
      <c r="G52" s="67">
        <f>D52*E52</f>
        <v>1076664</v>
      </c>
      <c r="H52" s="68">
        <f t="shared" ref="H52:H57" si="6">G52/F52</f>
        <v>1</v>
      </c>
    </row>
    <row r="53" spans="1:8" x14ac:dyDescent="0.25">
      <c r="A53" s="64"/>
      <c r="B53" s="256" t="s">
        <v>46</v>
      </c>
      <c r="C53" s="3">
        <v>3</v>
      </c>
      <c r="D53" s="3">
        <v>2</v>
      </c>
      <c r="E53" s="4">
        <v>119630</v>
      </c>
      <c r="F53" s="4">
        <f>C53*E53</f>
        <v>358890</v>
      </c>
      <c r="G53" s="67">
        <f>D53*E53</f>
        <v>239260</v>
      </c>
      <c r="H53" s="68">
        <f t="shared" si="6"/>
        <v>0.66666666666666663</v>
      </c>
    </row>
    <row r="54" spans="1:8" x14ac:dyDescent="0.25">
      <c r="A54" s="64"/>
      <c r="B54" s="2" t="s">
        <v>47</v>
      </c>
      <c r="C54" s="3">
        <v>2</v>
      </c>
      <c r="D54" s="3">
        <v>2</v>
      </c>
      <c r="E54" s="4">
        <v>193800</v>
      </c>
      <c r="F54" s="4">
        <f>C54*E54</f>
        <v>387600</v>
      </c>
      <c r="G54" s="67">
        <f>D54*E54</f>
        <v>387600</v>
      </c>
      <c r="H54" s="68">
        <f t="shared" si="6"/>
        <v>1</v>
      </c>
    </row>
    <row r="55" spans="1:8" x14ac:dyDescent="0.25">
      <c r="A55" s="64"/>
      <c r="B55" s="2" t="s">
        <v>185</v>
      </c>
      <c r="C55" s="3">
        <v>3</v>
      </c>
      <c r="D55" s="3">
        <v>3</v>
      </c>
      <c r="E55" s="4">
        <v>119630</v>
      </c>
      <c r="F55" s="4">
        <f>C55*E55</f>
        <v>358890</v>
      </c>
      <c r="G55" s="67">
        <f>D55*E55</f>
        <v>358890</v>
      </c>
      <c r="H55" s="68">
        <f t="shared" si="6"/>
        <v>1</v>
      </c>
    </row>
    <row r="56" spans="1:8" x14ac:dyDescent="0.25">
      <c r="A56" s="64"/>
      <c r="B56" s="2" t="s">
        <v>186</v>
      </c>
      <c r="C56" s="3">
        <v>2</v>
      </c>
      <c r="D56" s="3">
        <v>2</v>
      </c>
      <c r="E56" s="4">
        <v>209352</v>
      </c>
      <c r="F56" s="4">
        <f>C56*E56</f>
        <v>418704</v>
      </c>
      <c r="G56" s="67">
        <f>D56*E56</f>
        <v>418704</v>
      </c>
      <c r="H56" s="68">
        <f t="shared" si="6"/>
        <v>1</v>
      </c>
    </row>
    <row r="57" spans="1:8" ht="16.5" x14ac:dyDescent="0.25">
      <c r="A57" s="64"/>
      <c r="B57" s="388" t="s">
        <v>50</v>
      </c>
      <c r="C57" s="388"/>
      <c r="D57" s="388"/>
      <c r="E57" s="388"/>
      <c r="F57" s="69">
        <f>SUM(F52:F56)</f>
        <v>2600748</v>
      </c>
      <c r="G57" s="70">
        <f>SUM(G52:G56)</f>
        <v>2481118</v>
      </c>
      <c r="H57" s="71">
        <f t="shared" si="6"/>
        <v>0.95400169489700659</v>
      </c>
    </row>
    <row r="58" spans="1:8" x14ac:dyDescent="0.25">
      <c r="A58" s="64"/>
      <c r="B58" s="1" t="s">
        <v>51</v>
      </c>
      <c r="C58" s="3"/>
      <c r="D58" s="3"/>
      <c r="E58" s="4"/>
      <c r="F58" s="4"/>
      <c r="G58" s="2"/>
      <c r="H58" s="65"/>
    </row>
    <row r="59" spans="1:8" x14ac:dyDescent="0.25">
      <c r="A59" s="64"/>
      <c r="B59" s="2" t="s">
        <v>52</v>
      </c>
      <c r="C59" s="3">
        <v>2</v>
      </c>
      <c r="D59" s="3">
        <v>2</v>
      </c>
      <c r="E59" s="4">
        <v>412722</v>
      </c>
      <c r="F59" s="4">
        <f>C59*E59</f>
        <v>825444</v>
      </c>
      <c r="G59" s="67">
        <f>D59*E59</f>
        <v>825444</v>
      </c>
      <c r="H59" s="68">
        <f t="shared" ref="H59:H64" si="7">G59/F59</f>
        <v>1</v>
      </c>
    </row>
    <row r="60" spans="1:8" x14ac:dyDescent="0.25">
      <c r="A60" s="64"/>
      <c r="B60" s="2" t="s">
        <v>53</v>
      </c>
      <c r="C60" s="3">
        <v>1</v>
      </c>
      <c r="D60" s="3">
        <v>1</v>
      </c>
      <c r="E60" s="4">
        <v>583793</v>
      </c>
      <c r="F60" s="4">
        <f>C60*E60</f>
        <v>583793</v>
      </c>
      <c r="G60" s="67">
        <f>D60*E60</f>
        <v>583793</v>
      </c>
      <c r="H60" s="68">
        <f t="shared" si="7"/>
        <v>1</v>
      </c>
    </row>
    <row r="61" spans="1:8" x14ac:dyDescent="0.25">
      <c r="A61" s="64"/>
      <c r="B61" s="2" t="s">
        <v>54</v>
      </c>
      <c r="C61" s="3">
        <v>10</v>
      </c>
      <c r="D61" s="3">
        <v>10</v>
      </c>
      <c r="E61" s="4">
        <v>67083</v>
      </c>
      <c r="F61" s="4">
        <f>C61*E61</f>
        <v>670830</v>
      </c>
      <c r="G61" s="67">
        <f>D61*E61</f>
        <v>670830</v>
      </c>
      <c r="H61" s="68">
        <f t="shared" si="7"/>
        <v>1</v>
      </c>
    </row>
    <row r="62" spans="1:8" x14ac:dyDescent="0.25">
      <c r="A62" s="64"/>
      <c r="B62" s="2" t="s">
        <v>55</v>
      </c>
      <c r="C62" s="3">
        <v>8</v>
      </c>
      <c r="D62" s="3">
        <v>8</v>
      </c>
      <c r="E62" s="4">
        <v>78333</v>
      </c>
      <c r="F62" s="4">
        <f>C62*E62</f>
        <v>626664</v>
      </c>
      <c r="G62" s="67">
        <f>D62*E62</f>
        <v>626664</v>
      </c>
      <c r="H62" s="68">
        <f t="shared" si="7"/>
        <v>1</v>
      </c>
    </row>
    <row r="63" spans="1:8" x14ac:dyDescent="0.25">
      <c r="A63" s="64"/>
      <c r="B63" s="2" t="s">
        <v>56</v>
      </c>
      <c r="C63" s="3">
        <v>1</v>
      </c>
      <c r="D63" s="3">
        <v>1</v>
      </c>
      <c r="E63" s="4">
        <v>6447074</v>
      </c>
      <c r="F63" s="4">
        <f>C63*E63</f>
        <v>6447074</v>
      </c>
      <c r="G63" s="67">
        <f>D63*E63</f>
        <v>6447074</v>
      </c>
      <c r="H63" s="68">
        <f t="shared" si="7"/>
        <v>1</v>
      </c>
    </row>
    <row r="64" spans="1:8" ht="16.5" x14ac:dyDescent="0.25">
      <c r="A64" s="64"/>
      <c r="B64" s="388" t="s">
        <v>57</v>
      </c>
      <c r="C64" s="388"/>
      <c r="D64" s="388"/>
      <c r="E64" s="388"/>
      <c r="F64" s="69">
        <f>SUM(F59:F63)</f>
        <v>9153805</v>
      </c>
      <c r="G64" s="70">
        <f>SUM(G59:G63)</f>
        <v>9153805</v>
      </c>
      <c r="H64" s="71">
        <f t="shared" si="7"/>
        <v>1</v>
      </c>
    </row>
    <row r="65" spans="1:8" x14ac:dyDescent="0.25">
      <c r="A65" s="64"/>
      <c r="B65" s="1" t="s">
        <v>175</v>
      </c>
      <c r="C65" s="3"/>
      <c r="D65" s="3"/>
      <c r="E65" s="4"/>
      <c r="F65" s="4"/>
      <c r="G65" s="2"/>
      <c r="H65" s="65"/>
    </row>
    <row r="66" spans="1:8" x14ac:dyDescent="0.25">
      <c r="A66" s="64"/>
      <c r="B66" s="257" t="s">
        <v>165</v>
      </c>
      <c r="C66" s="3">
        <v>16</v>
      </c>
      <c r="D66" s="3">
        <v>16</v>
      </c>
      <c r="E66" s="4">
        <v>74170</v>
      </c>
      <c r="F66" s="4">
        <f>C66*E66</f>
        <v>1186720</v>
      </c>
      <c r="G66" s="67">
        <f>D66*E66</f>
        <v>1186720</v>
      </c>
      <c r="H66" s="68">
        <f>G66/F66</f>
        <v>1</v>
      </c>
    </row>
    <row r="67" spans="1:8" x14ac:dyDescent="0.25">
      <c r="A67" s="64"/>
      <c r="B67" s="2" t="s">
        <v>58</v>
      </c>
      <c r="C67" s="3">
        <v>6</v>
      </c>
      <c r="D67" s="3">
        <v>6</v>
      </c>
      <c r="E67" s="4">
        <v>227296</v>
      </c>
      <c r="F67" s="4">
        <f>C67*E67</f>
        <v>1363776</v>
      </c>
      <c r="G67" s="67">
        <f>D67*E67</f>
        <v>1363776</v>
      </c>
      <c r="H67" s="68">
        <f>G67/F67</f>
        <v>1</v>
      </c>
    </row>
    <row r="68" spans="1:8" ht="16.5" x14ac:dyDescent="0.25">
      <c r="A68" s="64"/>
      <c r="B68" s="1" t="s">
        <v>59</v>
      </c>
      <c r="C68" s="3"/>
      <c r="D68" s="3"/>
      <c r="E68" s="4"/>
      <c r="F68" s="69">
        <f>SUM(F66:F67)</f>
        <v>2550496</v>
      </c>
      <c r="G68" s="70">
        <f>SUM(G66:G67)</f>
        <v>2550496</v>
      </c>
      <c r="H68" s="71">
        <f>G68/F68</f>
        <v>1</v>
      </c>
    </row>
    <row r="69" spans="1:8" x14ac:dyDescent="0.25">
      <c r="A69" s="64"/>
      <c r="B69" s="1" t="s">
        <v>60</v>
      </c>
      <c r="C69" s="3"/>
      <c r="D69" s="3"/>
      <c r="E69" s="4"/>
      <c r="F69" s="4"/>
      <c r="G69" s="2"/>
      <c r="H69" s="65"/>
    </row>
    <row r="70" spans="1:8" x14ac:dyDescent="0.25">
      <c r="A70" s="64"/>
      <c r="B70" s="2" t="s">
        <v>166</v>
      </c>
      <c r="C70" s="3">
        <v>6</v>
      </c>
      <c r="D70" s="3">
        <v>6</v>
      </c>
      <c r="E70" s="4">
        <v>133656</v>
      </c>
      <c r="F70" s="4">
        <f>C70*E70</f>
        <v>801936</v>
      </c>
      <c r="G70" s="67">
        <f>D70*E70</f>
        <v>801936</v>
      </c>
      <c r="H70" s="68">
        <f>G70/F70</f>
        <v>1</v>
      </c>
    </row>
    <row r="71" spans="1:8" x14ac:dyDescent="0.25">
      <c r="A71" s="64"/>
      <c r="B71" s="5" t="s">
        <v>61</v>
      </c>
      <c r="C71" s="3">
        <v>2</v>
      </c>
      <c r="D71" s="3">
        <v>2</v>
      </c>
      <c r="E71" s="4">
        <v>466556</v>
      </c>
      <c r="F71" s="4">
        <f>C71*E71</f>
        <v>933112</v>
      </c>
      <c r="G71" s="67">
        <f>D71*E71</f>
        <v>933112</v>
      </c>
      <c r="H71" s="68">
        <f>G71/F71</f>
        <v>1</v>
      </c>
    </row>
    <row r="72" spans="1:8" ht="16.5" x14ac:dyDescent="0.25">
      <c r="A72" s="64"/>
      <c r="B72" s="73" t="s">
        <v>62</v>
      </c>
      <c r="C72" s="3"/>
      <c r="D72" s="3"/>
      <c r="E72" s="4"/>
      <c r="F72" s="69">
        <f>SUM(F70:F71)</f>
        <v>1735048</v>
      </c>
      <c r="G72" s="70">
        <f>SUM(G70:G71)</f>
        <v>1735048</v>
      </c>
      <c r="H72" s="71">
        <f>G72/F72</f>
        <v>1</v>
      </c>
    </row>
    <row r="73" spans="1:8" x14ac:dyDescent="0.25">
      <c r="A73" s="64"/>
      <c r="B73" s="73" t="s">
        <v>63</v>
      </c>
      <c r="C73" s="3"/>
      <c r="D73" s="3"/>
      <c r="E73" s="4"/>
      <c r="F73" s="4"/>
      <c r="G73" s="2"/>
      <c r="H73" s="65"/>
    </row>
    <row r="74" spans="1:8" x14ac:dyDescent="0.25">
      <c r="A74" s="64"/>
      <c r="B74" s="5" t="s">
        <v>95</v>
      </c>
      <c r="C74" s="3">
        <v>3</v>
      </c>
      <c r="D74" s="3">
        <v>3</v>
      </c>
      <c r="E74" s="4">
        <v>171070</v>
      </c>
      <c r="F74" s="4">
        <f>C74*E74</f>
        <v>513210</v>
      </c>
      <c r="G74" s="67">
        <f>D74*E74</f>
        <v>513210</v>
      </c>
      <c r="H74" s="68">
        <f t="shared" ref="H74:H80" si="8">G74/F74</f>
        <v>1</v>
      </c>
    </row>
    <row r="75" spans="1:8" x14ac:dyDescent="0.25">
      <c r="A75" s="64"/>
      <c r="B75" s="124" t="s">
        <v>154</v>
      </c>
      <c r="C75" s="3">
        <v>1</v>
      </c>
      <c r="D75" s="3">
        <v>1</v>
      </c>
      <c r="E75" s="4">
        <v>215333</v>
      </c>
      <c r="F75" s="4">
        <f>C75*E75</f>
        <v>215333</v>
      </c>
      <c r="G75" s="67">
        <f>D75*E75</f>
        <v>215333</v>
      </c>
      <c r="H75" s="68">
        <f t="shared" si="8"/>
        <v>1</v>
      </c>
    </row>
    <row r="76" spans="1:8" x14ac:dyDescent="0.25">
      <c r="A76" s="64"/>
      <c r="B76" s="124" t="s">
        <v>64</v>
      </c>
      <c r="C76" s="3">
        <v>40</v>
      </c>
      <c r="D76" s="3">
        <v>40</v>
      </c>
      <c r="E76" s="4">
        <v>35291</v>
      </c>
      <c r="F76" s="4">
        <f>C76*E76</f>
        <v>1411640</v>
      </c>
      <c r="G76" s="67">
        <f>D76*E76</f>
        <v>1411640</v>
      </c>
      <c r="H76" s="68">
        <f t="shared" si="8"/>
        <v>1</v>
      </c>
    </row>
    <row r="77" spans="1:8" x14ac:dyDescent="0.25">
      <c r="A77" s="64"/>
      <c r="B77" s="124" t="s">
        <v>96</v>
      </c>
      <c r="C77" s="3">
        <v>50</v>
      </c>
      <c r="D77" s="3">
        <v>50</v>
      </c>
      <c r="E77" s="4">
        <v>23926</v>
      </c>
      <c r="F77" s="4">
        <f>C77*E77</f>
        <v>1196300</v>
      </c>
      <c r="G77" s="67">
        <f>D77*E77</f>
        <v>1196300</v>
      </c>
      <c r="H77" s="68">
        <f t="shared" si="8"/>
        <v>1</v>
      </c>
    </row>
    <row r="78" spans="1:8" x14ac:dyDescent="0.25">
      <c r="A78" s="64"/>
      <c r="B78" s="5" t="s">
        <v>65</v>
      </c>
      <c r="C78" s="3">
        <v>18</v>
      </c>
      <c r="D78" s="3">
        <v>18</v>
      </c>
      <c r="E78" s="4">
        <v>118433</v>
      </c>
      <c r="F78" s="4">
        <f>C78*E78</f>
        <v>2131794</v>
      </c>
      <c r="G78" s="67">
        <f>D78*E78</f>
        <v>2131794</v>
      </c>
      <c r="H78" s="68">
        <f t="shared" si="8"/>
        <v>1</v>
      </c>
    </row>
    <row r="79" spans="1:8" ht="16.5" x14ac:dyDescent="0.25">
      <c r="A79" s="64"/>
      <c r="B79" s="73" t="s">
        <v>66</v>
      </c>
      <c r="C79" s="3"/>
      <c r="D79" s="3"/>
      <c r="E79" s="4"/>
      <c r="F79" s="69">
        <f>SUM(F74:F78)</f>
        <v>5468277</v>
      </c>
      <c r="G79" s="70">
        <f>SUM(G74:G78)</f>
        <v>5468277</v>
      </c>
      <c r="H79" s="71">
        <f t="shared" si="8"/>
        <v>1</v>
      </c>
    </row>
    <row r="80" spans="1:8" x14ac:dyDescent="0.25">
      <c r="A80" s="64"/>
      <c r="B80" s="388" t="s">
        <v>67</v>
      </c>
      <c r="C80" s="388"/>
      <c r="D80" s="388"/>
      <c r="E80" s="388"/>
      <c r="F80" s="69">
        <f>F57+F64+F68+F72+F79</f>
        <v>21508374</v>
      </c>
      <c r="G80" s="114">
        <f>G79+G72+G68+G64+G57</f>
        <v>21388744</v>
      </c>
      <c r="H80" s="115">
        <f t="shared" si="8"/>
        <v>0.99443798029548858</v>
      </c>
    </row>
    <row r="81" spans="1:11" x14ac:dyDescent="0.25">
      <c r="A81" s="64"/>
      <c r="B81" s="2"/>
      <c r="C81" s="3"/>
      <c r="D81" s="3"/>
      <c r="E81" s="4"/>
      <c r="F81" s="4"/>
      <c r="G81" s="2"/>
      <c r="H81" s="65"/>
    </row>
    <row r="82" spans="1:11" x14ac:dyDescent="0.25">
      <c r="A82" s="64"/>
      <c r="B82" s="388" t="s">
        <v>68</v>
      </c>
      <c r="C82" s="388"/>
      <c r="D82" s="388"/>
      <c r="E82" s="388"/>
      <c r="F82" s="4"/>
      <c r="G82" s="2"/>
      <c r="H82" s="65"/>
    </row>
    <row r="83" spans="1:11" x14ac:dyDescent="0.25">
      <c r="A83" s="64"/>
      <c r="B83" s="2" t="s">
        <v>69</v>
      </c>
      <c r="C83" s="3">
        <v>12</v>
      </c>
      <c r="D83" s="3">
        <v>12</v>
      </c>
      <c r="E83" s="4">
        <v>95704</v>
      </c>
      <c r="F83" s="4">
        <f>C83*E83</f>
        <v>1148448</v>
      </c>
      <c r="G83" s="67">
        <f>D83*E83</f>
        <v>1148448</v>
      </c>
      <c r="H83" s="68">
        <f>G83/F83</f>
        <v>1</v>
      </c>
    </row>
    <row r="84" spans="1:11" x14ac:dyDescent="0.25">
      <c r="A84" s="64"/>
      <c r="B84" s="2" t="s">
        <v>172</v>
      </c>
      <c r="C84" s="3">
        <v>36</v>
      </c>
      <c r="D84" s="3">
        <v>36</v>
      </c>
      <c r="E84" s="4">
        <v>47852</v>
      </c>
      <c r="F84" s="4">
        <f>C84*E84</f>
        <v>1722672</v>
      </c>
      <c r="G84" s="67">
        <f>D84*E84</f>
        <v>1722672</v>
      </c>
      <c r="H84" s="68">
        <f>G84/F84</f>
        <v>1</v>
      </c>
    </row>
    <row r="85" spans="1:11" x14ac:dyDescent="0.25">
      <c r="A85" s="64"/>
      <c r="B85" s="388" t="s">
        <v>70</v>
      </c>
      <c r="C85" s="388"/>
      <c r="D85" s="388"/>
      <c r="E85" s="388"/>
      <c r="F85" s="69">
        <f>SUM(F83:F84)</f>
        <v>2871120</v>
      </c>
      <c r="G85" s="67">
        <f>SUM(G83:G84)</f>
        <v>2871120</v>
      </c>
      <c r="H85" s="68">
        <f>G85/F85</f>
        <v>1</v>
      </c>
    </row>
    <row r="86" spans="1:11" ht="16.5" x14ac:dyDescent="0.25">
      <c r="A86" s="64"/>
      <c r="B86" s="1" t="s">
        <v>99</v>
      </c>
      <c r="C86" s="3"/>
      <c r="D86" s="3"/>
      <c r="E86" s="4"/>
      <c r="F86" s="74">
        <f>F28+F42+F49+F80+F85</f>
        <v>160978929</v>
      </c>
      <c r="G86" s="114">
        <f>G85+G80+G49+G42+G28</f>
        <v>161364136</v>
      </c>
      <c r="H86" s="65"/>
    </row>
    <row r="87" spans="1:11" x14ac:dyDescent="0.25">
      <c r="A87" s="64"/>
      <c r="B87" s="2" t="s">
        <v>167</v>
      </c>
      <c r="C87" s="3"/>
      <c r="D87" s="3"/>
      <c r="E87" s="4"/>
      <c r="F87" s="4">
        <f>F86*0.35</f>
        <v>56342625.149999999</v>
      </c>
      <c r="G87" s="114">
        <f>G86*0.35</f>
        <v>56477447.599999994</v>
      </c>
      <c r="H87" s="65"/>
      <c r="K87" s="102"/>
    </row>
    <row r="88" spans="1:11" x14ac:dyDescent="0.25">
      <c r="A88" s="64"/>
      <c r="B88" s="1" t="s">
        <v>98</v>
      </c>
      <c r="C88" s="3"/>
      <c r="D88" s="3"/>
      <c r="E88" s="4"/>
      <c r="F88" s="4"/>
      <c r="G88" s="2"/>
      <c r="H88" s="65"/>
    </row>
    <row r="89" spans="1:11" ht="47.25" x14ac:dyDescent="0.25">
      <c r="A89" s="64"/>
      <c r="B89" s="66" t="s">
        <v>71</v>
      </c>
      <c r="C89" s="3">
        <v>1</v>
      </c>
      <c r="D89" s="3">
        <v>1</v>
      </c>
      <c r="E89" s="4">
        <v>2924789</v>
      </c>
      <c r="F89" s="4">
        <f>C89*E89</f>
        <v>2924789</v>
      </c>
      <c r="G89" s="114">
        <f>E89*D89</f>
        <v>2924789</v>
      </c>
      <c r="H89" s="115">
        <f t="shared" ref="H89:H95" si="9">G89/F89</f>
        <v>1</v>
      </c>
      <c r="K89" s="102"/>
    </row>
    <row r="90" spans="1:11" ht="47.25" x14ac:dyDescent="0.25">
      <c r="A90" s="64"/>
      <c r="B90" s="66" t="s">
        <v>72</v>
      </c>
      <c r="C90" s="3">
        <v>1</v>
      </c>
      <c r="D90" s="3">
        <v>1</v>
      </c>
      <c r="E90" s="4">
        <v>3788875</v>
      </c>
      <c r="F90" s="4">
        <f>C90*E90</f>
        <v>3788875</v>
      </c>
      <c r="G90" s="114">
        <f>E90*D90</f>
        <v>3788875</v>
      </c>
      <c r="H90" s="115">
        <f t="shared" si="9"/>
        <v>1</v>
      </c>
    </row>
    <row r="91" spans="1:11" ht="31.5" x14ac:dyDescent="0.25">
      <c r="A91" s="64"/>
      <c r="B91" s="258" t="s">
        <v>73</v>
      </c>
      <c r="C91" s="3">
        <v>1</v>
      </c>
      <c r="D91" s="3">
        <v>0.95</v>
      </c>
      <c r="E91" s="4">
        <v>31423246</v>
      </c>
      <c r="F91" s="4">
        <f>C91*E91</f>
        <v>31423246</v>
      </c>
      <c r="G91" s="114">
        <f>E91*D91</f>
        <v>29852083.699999999</v>
      </c>
      <c r="H91" s="115">
        <f t="shared" si="9"/>
        <v>0.95</v>
      </c>
    </row>
    <row r="92" spans="1:11" ht="30" customHeight="1" x14ac:dyDescent="0.25">
      <c r="A92" s="64"/>
      <c r="B92" s="258" t="s">
        <v>74</v>
      </c>
      <c r="C92" s="3">
        <v>1</v>
      </c>
      <c r="D92" s="3">
        <v>0.4</v>
      </c>
      <c r="E92" s="4">
        <v>9326567</v>
      </c>
      <c r="F92" s="4">
        <f>C92*E92</f>
        <v>9326567</v>
      </c>
      <c r="G92" s="114">
        <f>E92*D92</f>
        <v>3730626.8000000003</v>
      </c>
      <c r="H92" s="115">
        <f t="shared" si="9"/>
        <v>0.4</v>
      </c>
    </row>
    <row r="93" spans="1:11" ht="31.5" x14ac:dyDescent="0.25">
      <c r="A93" s="64"/>
      <c r="B93" s="75" t="s">
        <v>75</v>
      </c>
      <c r="C93" s="3">
        <v>1</v>
      </c>
      <c r="D93" s="3">
        <v>1</v>
      </c>
      <c r="E93" s="4">
        <v>9750000</v>
      </c>
      <c r="F93" s="4">
        <f>C93*E93</f>
        <v>9750000</v>
      </c>
      <c r="G93" s="114">
        <f>E93*D93</f>
        <v>9750000</v>
      </c>
      <c r="H93" s="116">
        <f t="shared" si="9"/>
        <v>1</v>
      </c>
    </row>
    <row r="94" spans="1:11" x14ac:dyDescent="0.25">
      <c r="A94" s="64"/>
      <c r="B94" s="388" t="s">
        <v>109</v>
      </c>
      <c r="C94" s="388"/>
      <c r="D94" s="388"/>
      <c r="E94" s="388"/>
      <c r="F94" s="69">
        <f>SUM(F89:F93)</f>
        <v>57213477</v>
      </c>
      <c r="G94" s="114">
        <f>SUM(G89:G93)</f>
        <v>50046374.5</v>
      </c>
      <c r="H94" s="115">
        <f t="shared" si="9"/>
        <v>0.87473052022340825</v>
      </c>
    </row>
    <row r="95" spans="1:11" x14ac:dyDescent="0.25">
      <c r="A95" s="64"/>
      <c r="B95" s="388" t="s">
        <v>76</v>
      </c>
      <c r="C95" s="388"/>
      <c r="D95" s="388"/>
      <c r="E95" s="388"/>
      <c r="F95" s="69">
        <f>F94*0.1925</f>
        <v>11013594.3225</v>
      </c>
      <c r="G95" s="117">
        <f>G94*19.25/100</f>
        <v>9633927.0912500005</v>
      </c>
      <c r="H95" s="115">
        <f t="shared" si="9"/>
        <v>0.87473052022340825</v>
      </c>
    </row>
    <row r="96" spans="1:11" ht="19.5" customHeight="1" x14ac:dyDescent="0.25">
      <c r="A96" s="389" t="s">
        <v>79</v>
      </c>
      <c r="B96" s="390"/>
      <c r="C96" s="390"/>
      <c r="D96" s="390"/>
      <c r="E96" s="391"/>
      <c r="F96" s="76">
        <f>F86+F94+F87</f>
        <v>274535031.14999998</v>
      </c>
      <c r="G96" s="76">
        <f>G86+G94+G87</f>
        <v>267887958.09999999</v>
      </c>
      <c r="H96" s="103">
        <f>G96/F96</f>
        <v>0.97578788753422085</v>
      </c>
    </row>
    <row r="97" spans="1:12" x14ac:dyDescent="0.25">
      <c r="A97" s="392" t="s">
        <v>80</v>
      </c>
      <c r="B97" s="393"/>
      <c r="C97" s="394" t="s">
        <v>81</v>
      </c>
      <c r="D97" s="395"/>
      <c r="E97" s="393"/>
      <c r="F97" s="77" t="s">
        <v>82</v>
      </c>
      <c r="G97" s="2"/>
      <c r="H97" s="65"/>
    </row>
    <row r="98" spans="1:12" x14ac:dyDescent="0.25">
      <c r="A98" s="380" t="s">
        <v>83</v>
      </c>
      <c r="B98" s="381"/>
      <c r="C98" s="382" t="s">
        <v>84</v>
      </c>
      <c r="D98" s="382"/>
      <c r="E98" s="382"/>
      <c r="F98" s="78"/>
      <c r="G98" s="79">
        <f>DATE(2013,4,30)</f>
        <v>41394</v>
      </c>
      <c r="H98" s="80">
        <f ca="1">TODAY()</f>
        <v>43780</v>
      </c>
    </row>
    <row r="99" spans="1:12" ht="31.5" x14ac:dyDescent="0.25">
      <c r="A99" s="373"/>
      <c r="B99" s="374"/>
      <c r="C99" s="81"/>
      <c r="D99" s="82"/>
      <c r="E99" s="81"/>
      <c r="F99" s="78"/>
      <c r="G99" s="83" t="s">
        <v>91</v>
      </c>
      <c r="H99" s="84">
        <f ca="1">NETWORKDAYS(G98,H98,5)</f>
        <v>1705</v>
      </c>
    </row>
    <row r="100" spans="1:12" ht="63" x14ac:dyDescent="0.25">
      <c r="A100" s="383" t="s">
        <v>85</v>
      </c>
      <c r="B100" s="384"/>
      <c r="C100" s="384"/>
      <c r="D100" s="384"/>
      <c r="E100" s="384"/>
      <c r="F100" s="78"/>
      <c r="G100" s="77" t="s">
        <v>86</v>
      </c>
      <c r="H100" s="85" t="s">
        <v>158</v>
      </c>
    </row>
    <row r="101" spans="1:12" x14ac:dyDescent="0.25">
      <c r="A101" s="385" t="s">
        <v>87</v>
      </c>
      <c r="B101" s="386"/>
      <c r="C101" s="387" t="s">
        <v>155</v>
      </c>
      <c r="D101" s="387"/>
      <c r="E101" s="387"/>
      <c r="F101" s="78"/>
      <c r="G101" s="86">
        <f ca="1">H99/H101</f>
        <v>9.4722222222222214</v>
      </c>
      <c r="H101" s="87">
        <v>180</v>
      </c>
    </row>
    <row r="102" spans="1:12" x14ac:dyDescent="0.25">
      <c r="A102" s="373"/>
      <c r="B102" s="374"/>
      <c r="C102" s="375">
        <f>K96</f>
        <v>0</v>
      </c>
      <c r="D102" s="375"/>
      <c r="E102" s="375"/>
      <c r="F102" s="78"/>
      <c r="G102" s="376" t="s">
        <v>156</v>
      </c>
      <c r="H102" s="377"/>
    </row>
    <row r="103" spans="1:12" x14ac:dyDescent="0.25">
      <c r="A103" s="88"/>
      <c r="B103" s="89"/>
      <c r="C103" s="89"/>
      <c r="D103" s="89"/>
      <c r="E103" s="78"/>
      <c r="F103" s="78"/>
      <c r="G103" s="378">
        <f ca="1">H101-H99</f>
        <v>-1525</v>
      </c>
      <c r="H103" s="379"/>
    </row>
    <row r="104" spans="1:12" ht="32.25" thickBot="1" x14ac:dyDescent="0.3">
      <c r="A104" s="90"/>
      <c r="B104" s="91"/>
      <c r="C104" s="92"/>
      <c r="D104" s="92"/>
      <c r="E104" s="93"/>
      <c r="F104" s="94"/>
      <c r="G104" s="95" t="s">
        <v>88</v>
      </c>
      <c r="H104" s="96" t="str">
        <f ca="1">IF(G103&gt;0,"pas de pénalité","dans les pénalités")</f>
        <v>dans les pénalités</v>
      </c>
    </row>
    <row r="105" spans="1:12" ht="16.5" thickTop="1" x14ac:dyDescent="0.25"/>
    <row r="107" spans="1:12" x14ac:dyDescent="0.25">
      <c r="G107" s="104"/>
      <c r="I107" s="104"/>
    </row>
    <row r="108" spans="1:12" x14ac:dyDescent="0.25">
      <c r="D108" s="234">
        <f>DATE(2013,4,30)</f>
        <v>41394</v>
      </c>
      <c r="E108" s="235">
        <f>DATE(2017,3,23)</f>
        <v>42817</v>
      </c>
      <c r="G108" s="235">
        <f>DATE(2015,10,2)</f>
        <v>42279</v>
      </c>
      <c r="H108" s="235">
        <f>DATE(2015,11,13)</f>
        <v>42321</v>
      </c>
      <c r="K108" s="234">
        <f>DATE(2016,5,6)</f>
        <v>42496</v>
      </c>
      <c r="L108" s="235">
        <f>DATE(2017,3,23)</f>
        <v>42817</v>
      </c>
    </row>
    <row r="109" spans="1:12" ht="47.25" x14ac:dyDescent="0.25">
      <c r="D109" s="236" t="s">
        <v>199</v>
      </c>
      <c r="E109" s="237">
        <f>NETWORKDAYS(D108,E108,5)</f>
        <v>1018</v>
      </c>
      <c r="F109" s="98" t="s">
        <v>201</v>
      </c>
      <c r="G109" s="236" t="s">
        <v>199</v>
      </c>
      <c r="H109" s="237">
        <f>NETWORKDAYS(G108,H108,5)</f>
        <v>31</v>
      </c>
      <c r="I109" s="20" t="s">
        <v>200</v>
      </c>
      <c r="K109" s="236" t="s">
        <v>91</v>
      </c>
      <c r="L109" s="237">
        <f>NETWORKDAYS(K108,L108,5)</f>
        <v>230</v>
      </c>
    </row>
    <row r="110" spans="1:12" ht="63" x14ac:dyDescent="0.25">
      <c r="D110" s="238" t="s">
        <v>86</v>
      </c>
      <c r="E110" s="239" t="s">
        <v>158</v>
      </c>
      <c r="G110" s="238" t="s">
        <v>86</v>
      </c>
      <c r="H110" s="239" t="s">
        <v>158</v>
      </c>
      <c r="K110" s="238" t="s">
        <v>86</v>
      </c>
      <c r="L110" s="239" t="s">
        <v>158</v>
      </c>
    </row>
    <row r="111" spans="1:12" x14ac:dyDescent="0.25">
      <c r="D111" s="240">
        <f>E109/E111</f>
        <v>16.966666666666665</v>
      </c>
      <c r="E111" s="241">
        <v>60</v>
      </c>
      <c r="G111" s="240">
        <f>H109/H111</f>
        <v>0.51666666666666672</v>
      </c>
      <c r="H111" s="241">
        <v>60</v>
      </c>
      <c r="K111" s="240">
        <f>L109/L111</f>
        <v>3.8333333333333335</v>
      </c>
      <c r="L111" s="241">
        <v>60</v>
      </c>
    </row>
    <row r="112" spans="1:12" x14ac:dyDescent="0.25">
      <c r="D112" s="396" t="s">
        <v>156</v>
      </c>
      <c r="E112" s="397"/>
      <c r="G112" s="396" t="s">
        <v>156</v>
      </c>
      <c r="H112" s="397"/>
      <c r="K112" s="396" t="s">
        <v>156</v>
      </c>
      <c r="L112" s="397"/>
    </row>
    <row r="113" spans="4:12" x14ac:dyDescent="0.25">
      <c r="D113" s="398">
        <f>E111-E109</f>
        <v>-958</v>
      </c>
      <c r="E113" s="399"/>
      <c r="G113" s="398">
        <f>H111-H109</f>
        <v>29</v>
      </c>
      <c r="H113" s="399"/>
      <c r="K113" s="398">
        <f>L111-L109</f>
        <v>-170</v>
      </c>
      <c r="L113" s="399"/>
    </row>
    <row r="118" spans="4:12" x14ac:dyDescent="0.25">
      <c r="D118" s="234">
        <f>DATE(2013,12,13)</f>
        <v>41621</v>
      </c>
      <c r="E118" s="235">
        <f>DATE(2015,10,2)</f>
        <v>42279</v>
      </c>
      <c r="G118" s="234">
        <f>DATE(2015,10,2)</f>
        <v>42279</v>
      </c>
      <c r="H118" s="235">
        <f>DATE(2016,5,6)</f>
        <v>42496</v>
      </c>
    </row>
    <row r="119" spans="4:12" ht="47.25" x14ac:dyDescent="0.25">
      <c r="D119" s="236" t="s">
        <v>198</v>
      </c>
      <c r="E119" s="237">
        <f>DAYS360(D118,E118)</f>
        <v>649</v>
      </c>
      <c r="G119" s="236" t="s">
        <v>198</v>
      </c>
      <c r="H119" s="237">
        <f>DAYS360(G118,H118)</f>
        <v>214</v>
      </c>
      <c r="I119" s="20" t="s">
        <v>201</v>
      </c>
    </row>
    <row r="120" spans="4:12" ht="63" x14ac:dyDescent="0.25">
      <c r="D120" s="238" t="s">
        <v>86</v>
      </c>
      <c r="E120" s="239" t="s">
        <v>158</v>
      </c>
      <c r="G120" s="238" t="s">
        <v>86</v>
      </c>
      <c r="H120" s="239" t="s">
        <v>158</v>
      </c>
      <c r="K120" s="20" t="s">
        <v>202</v>
      </c>
    </row>
    <row r="121" spans="4:12" x14ac:dyDescent="0.25">
      <c r="D121" s="240">
        <f>E119/E121</f>
        <v>10.816666666666666</v>
      </c>
      <c r="E121" s="241">
        <v>60</v>
      </c>
      <c r="G121" s="240">
        <f>H119/H121</f>
        <v>3.5666666666666669</v>
      </c>
      <c r="H121" s="241">
        <v>60</v>
      </c>
    </row>
    <row r="122" spans="4:12" x14ac:dyDescent="0.25">
      <c r="D122" s="396" t="s">
        <v>156</v>
      </c>
      <c r="E122" s="397"/>
      <c r="G122" s="396" t="s">
        <v>190</v>
      </c>
      <c r="H122" s="397"/>
    </row>
    <row r="123" spans="4:12" x14ac:dyDescent="0.25">
      <c r="D123" s="398">
        <f>E121-E119</f>
        <v>-589</v>
      </c>
      <c r="E123" s="399"/>
      <c r="G123" s="398">
        <f>H121-H119</f>
        <v>-154</v>
      </c>
      <c r="H123" s="399"/>
    </row>
  </sheetData>
  <mergeCells count="44">
    <mergeCell ref="B18:E18"/>
    <mergeCell ref="A1:E1"/>
    <mergeCell ref="G1:G2"/>
    <mergeCell ref="H1:H2"/>
    <mergeCell ref="A3:H3"/>
    <mergeCell ref="B4:G4"/>
    <mergeCell ref="B82:E82"/>
    <mergeCell ref="B19:G19"/>
    <mergeCell ref="B22:E22"/>
    <mergeCell ref="B23:G23"/>
    <mergeCell ref="B28:E28"/>
    <mergeCell ref="B30:G30"/>
    <mergeCell ref="B42:E42"/>
    <mergeCell ref="B44:G44"/>
    <mergeCell ref="B49:E49"/>
    <mergeCell ref="B57:E57"/>
    <mergeCell ref="B64:E64"/>
    <mergeCell ref="B80:E80"/>
    <mergeCell ref="B85:E85"/>
    <mergeCell ref="B94:E94"/>
    <mergeCell ref="B95:E95"/>
    <mergeCell ref="A96:E96"/>
    <mergeCell ref="A97:B97"/>
    <mergeCell ref="C97:E97"/>
    <mergeCell ref="A98:B98"/>
    <mergeCell ref="C98:E98"/>
    <mergeCell ref="A99:B99"/>
    <mergeCell ref="A100:E100"/>
    <mergeCell ref="A101:B101"/>
    <mergeCell ref="C101:E101"/>
    <mergeCell ref="A102:B102"/>
    <mergeCell ref="C102:E102"/>
    <mergeCell ref="G102:H102"/>
    <mergeCell ref="G103:H103"/>
    <mergeCell ref="D112:E112"/>
    <mergeCell ref="G112:H112"/>
    <mergeCell ref="D123:E123"/>
    <mergeCell ref="G123:H123"/>
    <mergeCell ref="K112:L112"/>
    <mergeCell ref="D113:E113"/>
    <mergeCell ref="G113:H113"/>
    <mergeCell ref="K113:L113"/>
    <mergeCell ref="D122:E122"/>
    <mergeCell ref="G122:H1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113"/>
  <sheetViews>
    <sheetView zoomScaleNormal="100" workbookViewId="0">
      <pane ySplit="4" topLeftCell="A94" activePane="bottomLeft" state="frozen"/>
      <selection pane="bottomLeft" activeCell="C95" sqref="C95"/>
    </sheetView>
  </sheetViews>
  <sheetFormatPr baseColWidth="10" defaultRowHeight="14.25" x14ac:dyDescent="0.2"/>
  <cols>
    <col min="1" max="1" width="19.5703125" style="16" customWidth="1"/>
    <col min="2" max="2" width="5" style="25" customWidth="1"/>
    <col min="3" max="3" width="9" style="25" customWidth="1"/>
    <col min="4" max="4" width="14.85546875" style="26" customWidth="1"/>
    <col min="5" max="5" width="16.85546875" style="26" customWidth="1"/>
    <col min="6" max="6" width="18.85546875" style="16" customWidth="1"/>
    <col min="7" max="7" width="10.85546875" style="16" hidden="1" customWidth="1"/>
    <col min="8" max="8" width="9.7109375" style="25" hidden="1" customWidth="1"/>
    <col min="9" max="9" width="8.85546875" style="16" hidden="1" customWidth="1"/>
    <col min="10" max="10" width="2" style="16" hidden="1" customWidth="1"/>
    <col min="11" max="11" width="16.28515625" style="16" hidden="1" customWidth="1"/>
    <col min="12" max="12" width="3.7109375" style="16" hidden="1" customWidth="1"/>
    <col min="13" max="13" width="14.140625" style="16" customWidth="1"/>
    <col min="14" max="14" width="12.5703125" style="16" customWidth="1"/>
    <col min="15" max="15" width="17.28515625" style="16" customWidth="1"/>
    <col min="16" max="17" width="12.5703125" style="16" customWidth="1"/>
    <col min="18" max="18" width="4" style="16" customWidth="1"/>
    <col min="19" max="23" width="11.42578125" style="16"/>
    <col min="24" max="24" width="11" style="16" customWidth="1"/>
    <col min="25" max="16384" width="11.42578125" style="16"/>
  </cols>
  <sheetData>
    <row r="2" spans="1:17" ht="16.5" customHeight="1" x14ac:dyDescent="0.2">
      <c r="A2" s="369" t="s">
        <v>152</v>
      </c>
      <c r="B2" s="370"/>
      <c r="C2" s="370"/>
      <c r="D2" s="370"/>
      <c r="E2" s="370"/>
      <c r="F2" s="370"/>
      <c r="G2" s="371"/>
      <c r="H2" s="367">
        <f ca="1">TODAY()</f>
        <v>43780</v>
      </c>
      <c r="I2" s="368"/>
      <c r="J2" s="21"/>
      <c r="K2" s="109">
        <f ca="1">TODAY()</f>
        <v>43780</v>
      </c>
    </row>
    <row r="3" spans="1:17" ht="16.5" customHeight="1" x14ac:dyDescent="0.2">
      <c r="A3" s="364" t="s">
        <v>2</v>
      </c>
      <c r="B3" s="364" t="s">
        <v>1</v>
      </c>
      <c r="C3" s="362" t="s">
        <v>89</v>
      </c>
      <c r="D3" s="372" t="s">
        <v>3</v>
      </c>
      <c r="E3" s="372" t="s">
        <v>93</v>
      </c>
      <c r="F3" s="362" t="s">
        <v>78</v>
      </c>
      <c r="G3" s="362" t="s">
        <v>102</v>
      </c>
      <c r="H3" s="362"/>
      <c r="I3" s="362"/>
      <c r="J3" s="362" t="s">
        <v>169</v>
      </c>
      <c r="K3" s="362"/>
      <c r="L3" s="362"/>
      <c r="M3" s="362" t="s">
        <v>90</v>
      </c>
      <c r="N3" s="22"/>
      <c r="O3" s="22"/>
      <c r="P3" s="22"/>
      <c r="Q3" s="22"/>
    </row>
    <row r="4" spans="1:17" s="23" customFormat="1" ht="60" customHeight="1" x14ac:dyDescent="0.25">
      <c r="A4" s="364"/>
      <c r="B4" s="364"/>
      <c r="C4" s="362"/>
      <c r="D4" s="372"/>
      <c r="E4" s="372"/>
      <c r="F4" s="362"/>
      <c r="G4" s="244" t="s">
        <v>103</v>
      </c>
      <c r="H4" s="244" t="s">
        <v>104</v>
      </c>
      <c r="I4" s="244" t="s">
        <v>105</v>
      </c>
      <c r="J4" s="244" t="s">
        <v>103</v>
      </c>
      <c r="K4" s="244" t="s">
        <v>104</v>
      </c>
      <c r="L4" s="244" t="s">
        <v>105</v>
      </c>
      <c r="M4" s="362"/>
      <c r="N4" s="22"/>
      <c r="O4" s="22"/>
      <c r="P4" s="22"/>
      <c r="Q4" s="22"/>
    </row>
    <row r="5" spans="1:17" ht="15.75" customHeight="1" x14ac:dyDescent="0.25">
      <c r="A5" s="28"/>
      <c r="B5" s="28"/>
      <c r="C5" s="28"/>
      <c r="D5" s="28"/>
      <c r="E5" s="28"/>
      <c r="F5" s="28"/>
      <c r="G5" s="28"/>
      <c r="H5" s="29"/>
      <c r="I5" s="28"/>
      <c r="J5" s="28"/>
      <c r="K5" s="28"/>
      <c r="L5" s="28"/>
      <c r="M5" s="28"/>
      <c r="N5" s="24"/>
      <c r="O5" s="24"/>
      <c r="P5" s="24"/>
      <c r="Q5" s="24"/>
    </row>
    <row r="6" spans="1:17" x14ac:dyDescent="0.2">
      <c r="A6" s="363" t="s">
        <v>5</v>
      </c>
      <c r="B6" s="363"/>
      <c r="C6" s="363"/>
      <c r="D6" s="363"/>
      <c r="E6" s="363"/>
      <c r="F6" s="363"/>
      <c r="G6" s="242"/>
      <c r="H6" s="242"/>
      <c r="I6" s="242"/>
      <c r="J6" s="242"/>
      <c r="K6" s="242"/>
      <c r="L6" s="242"/>
      <c r="M6" s="31"/>
      <c r="N6" s="18"/>
      <c r="O6" s="18"/>
      <c r="P6" s="18"/>
      <c r="Q6" s="18"/>
    </row>
    <row r="7" spans="1:17" ht="28.5" x14ac:dyDescent="0.2">
      <c r="A7" s="32" t="s">
        <v>160</v>
      </c>
      <c r="B7" s="33">
        <v>3</v>
      </c>
      <c r="C7" s="33">
        <v>3</v>
      </c>
      <c r="D7" s="34">
        <v>4426296</v>
      </c>
      <c r="E7" s="34">
        <f>13278889</f>
        <v>13278889</v>
      </c>
      <c r="F7" s="35">
        <f>C7*D7</f>
        <v>13278888</v>
      </c>
      <c r="G7" s="36">
        <v>0</v>
      </c>
      <c r="H7" s="35"/>
      <c r="I7" s="35"/>
      <c r="J7" s="36">
        <v>0</v>
      </c>
      <c r="K7" s="35"/>
      <c r="L7" s="35">
        <v>13278888</v>
      </c>
      <c r="M7" s="37">
        <f>F7/E7</f>
        <v>0.99999992469249499</v>
      </c>
      <c r="N7" s="13"/>
      <c r="O7" s="13"/>
      <c r="P7" s="13"/>
      <c r="Q7" s="13"/>
    </row>
    <row r="8" spans="1:17" ht="25.5" customHeight="1" x14ac:dyDescent="0.2">
      <c r="A8" s="32" t="s">
        <v>161</v>
      </c>
      <c r="B8" s="33">
        <v>3</v>
      </c>
      <c r="C8" s="33">
        <v>3</v>
      </c>
      <c r="D8" s="34">
        <v>5305574</v>
      </c>
      <c r="E8" s="34">
        <v>15916722</v>
      </c>
      <c r="F8" s="35">
        <f>C8*D8</f>
        <v>15916722</v>
      </c>
      <c r="G8" s="36">
        <v>0</v>
      </c>
      <c r="H8" s="35"/>
      <c r="I8" s="35"/>
      <c r="J8" s="36">
        <v>0</v>
      </c>
      <c r="K8" s="35"/>
      <c r="L8" s="35"/>
      <c r="M8" s="37">
        <f>F8/E8</f>
        <v>1</v>
      </c>
      <c r="N8" s="13"/>
      <c r="O8" s="13"/>
      <c r="P8" s="13"/>
      <c r="Q8" s="13"/>
    </row>
    <row r="9" spans="1:17" ht="32.25" customHeight="1" x14ac:dyDescent="0.2">
      <c r="A9" s="32" t="s">
        <v>7</v>
      </c>
      <c r="B9" s="33">
        <v>3</v>
      </c>
      <c r="C9" s="33">
        <v>3</v>
      </c>
      <c r="D9" s="34">
        <v>7500778</v>
      </c>
      <c r="E9" s="34">
        <v>22502333</v>
      </c>
      <c r="F9" s="35">
        <f>C9*D9</f>
        <v>22502334</v>
      </c>
      <c r="G9" s="36">
        <v>0</v>
      </c>
      <c r="H9" s="35"/>
      <c r="I9" s="35"/>
      <c r="J9" s="36">
        <v>0</v>
      </c>
      <c r="K9" s="35"/>
      <c r="L9" s="35">
        <v>22502333</v>
      </c>
      <c r="M9" s="37">
        <f>F9/E9</f>
        <v>1.0000000444398365</v>
      </c>
      <c r="N9" s="13"/>
      <c r="O9" s="13"/>
      <c r="P9" s="13"/>
      <c r="Q9" s="13"/>
    </row>
    <row r="10" spans="1:17" x14ac:dyDescent="0.2">
      <c r="A10" s="38" t="s">
        <v>8</v>
      </c>
      <c r="B10" s="33"/>
      <c r="C10" s="33"/>
      <c r="D10" s="34"/>
      <c r="E10" s="39">
        <f>SUM(E7:E9)</f>
        <v>51697944</v>
      </c>
      <c r="F10" s="40">
        <f>SUM(F7:F9)</f>
        <v>51697944</v>
      </c>
      <c r="G10" s="40"/>
      <c r="H10" s="40"/>
      <c r="I10" s="40"/>
      <c r="J10" s="40"/>
      <c r="K10" s="40"/>
      <c r="L10" s="40">
        <f>SUM(L7:L9)</f>
        <v>35781221</v>
      </c>
      <c r="M10" s="41">
        <f>F10/E10</f>
        <v>1</v>
      </c>
      <c r="N10" s="17"/>
      <c r="O10" s="17"/>
      <c r="P10" s="17"/>
      <c r="Q10" s="17"/>
    </row>
    <row r="11" spans="1:17" x14ac:dyDescent="0.2">
      <c r="A11" s="31"/>
      <c r="B11" s="33"/>
      <c r="C11" s="33"/>
      <c r="D11" s="34"/>
      <c r="E11" s="34"/>
      <c r="F11" s="31"/>
      <c r="G11" s="31"/>
      <c r="H11" s="33"/>
      <c r="I11" s="31"/>
      <c r="J11" s="31"/>
      <c r="K11" s="31"/>
      <c r="L11" s="31"/>
      <c r="M11" s="31"/>
      <c r="N11" s="18"/>
      <c r="O11" s="18"/>
      <c r="P11" s="18"/>
      <c r="Q11" s="18"/>
    </row>
    <row r="12" spans="1:17" x14ac:dyDescent="0.2">
      <c r="A12" s="38" t="s">
        <v>9</v>
      </c>
      <c r="B12" s="33"/>
      <c r="C12" s="33"/>
      <c r="D12" s="34"/>
      <c r="E12" s="34"/>
      <c r="F12" s="31"/>
      <c r="G12" s="31"/>
      <c r="H12" s="33"/>
      <c r="I12" s="31"/>
      <c r="J12" s="31"/>
      <c r="K12" s="31"/>
      <c r="L12" s="31"/>
      <c r="M12" s="31"/>
      <c r="N12" s="18"/>
      <c r="O12" s="18"/>
      <c r="P12" s="18"/>
      <c r="Q12" s="18"/>
    </row>
    <row r="13" spans="1:17" ht="15" x14ac:dyDescent="0.2">
      <c r="A13" s="31" t="s">
        <v>10</v>
      </c>
      <c r="B13" s="33">
        <v>1</v>
      </c>
      <c r="C13" s="129">
        <v>1</v>
      </c>
      <c r="D13" s="42">
        <v>17944444</v>
      </c>
      <c r="E13" s="34">
        <f>B13*D13</f>
        <v>17944444</v>
      </c>
      <c r="F13" s="35">
        <f>C13*D13</f>
        <v>17944444</v>
      </c>
      <c r="G13" s="36">
        <v>0</v>
      </c>
      <c r="H13" s="35"/>
      <c r="I13" s="35"/>
      <c r="J13" s="36">
        <v>0</v>
      </c>
      <c r="K13" s="35"/>
      <c r="L13" s="35"/>
      <c r="M13" s="37">
        <f t="shared" ref="M13:M20" si="0">F13/E13</f>
        <v>1</v>
      </c>
      <c r="N13" s="13"/>
      <c r="O13" s="13"/>
      <c r="P13" s="13"/>
      <c r="Q13" s="13"/>
    </row>
    <row r="14" spans="1:17" ht="15" x14ac:dyDescent="0.2">
      <c r="A14" s="31" t="s">
        <v>11</v>
      </c>
      <c r="B14" s="33">
        <v>1</v>
      </c>
      <c r="C14" s="129">
        <v>1</v>
      </c>
      <c r="D14" s="34">
        <v>2691667</v>
      </c>
      <c r="E14" s="34">
        <f t="shared" ref="E14:E19" si="1">B14*D14</f>
        <v>2691667</v>
      </c>
      <c r="F14" s="35">
        <f t="shared" ref="F14:F19" si="2">C14*D14</f>
        <v>2691667</v>
      </c>
      <c r="G14" s="36">
        <v>0</v>
      </c>
      <c r="H14" s="35"/>
      <c r="I14" s="35"/>
      <c r="J14" s="36">
        <v>0</v>
      </c>
      <c r="K14" s="35"/>
      <c r="L14" s="35"/>
      <c r="M14" s="37">
        <f t="shared" si="0"/>
        <v>1</v>
      </c>
      <c r="N14" s="13"/>
      <c r="O14" s="13"/>
      <c r="P14" s="13"/>
      <c r="Q14" s="13"/>
    </row>
    <row r="15" spans="1:17" ht="15" x14ac:dyDescent="0.2">
      <c r="A15" s="131" t="s">
        <v>12</v>
      </c>
      <c r="B15" s="33">
        <v>1</v>
      </c>
      <c r="C15" s="129">
        <v>1</v>
      </c>
      <c r="D15" s="34">
        <v>1940991</v>
      </c>
      <c r="E15" s="34">
        <f t="shared" si="1"/>
        <v>1940991</v>
      </c>
      <c r="F15" s="35">
        <f>C15*D15</f>
        <v>1940991</v>
      </c>
      <c r="G15" s="36">
        <v>0</v>
      </c>
      <c r="H15" s="35"/>
      <c r="I15" s="35"/>
      <c r="J15" s="36">
        <v>0</v>
      </c>
      <c r="K15" s="35"/>
      <c r="L15" s="35"/>
      <c r="M15" s="37">
        <f t="shared" si="0"/>
        <v>1</v>
      </c>
      <c r="N15" s="13"/>
      <c r="O15" s="13"/>
      <c r="P15" s="13"/>
      <c r="Q15" s="13"/>
    </row>
    <row r="16" spans="1:17" ht="15" x14ac:dyDescent="0.2">
      <c r="A16" s="31" t="s">
        <v>13</v>
      </c>
      <c r="B16" s="33">
        <v>1</v>
      </c>
      <c r="C16" s="231">
        <v>1</v>
      </c>
      <c r="D16" s="34">
        <v>1705320</v>
      </c>
      <c r="E16" s="34">
        <f t="shared" si="1"/>
        <v>1705320</v>
      </c>
      <c r="F16" s="35">
        <f t="shared" si="2"/>
        <v>1705320</v>
      </c>
      <c r="G16" s="36">
        <v>0</v>
      </c>
      <c r="H16" s="35"/>
      <c r="I16" s="35"/>
      <c r="J16" s="36">
        <v>0</v>
      </c>
      <c r="K16" s="35"/>
      <c r="L16" s="35"/>
      <c r="M16" s="37">
        <f t="shared" si="0"/>
        <v>1</v>
      </c>
      <c r="N16" s="13"/>
      <c r="O16" s="13"/>
      <c r="P16" s="13"/>
      <c r="Q16" s="13"/>
    </row>
    <row r="17" spans="1:17" ht="15" x14ac:dyDescent="0.2">
      <c r="A17" s="131" t="s">
        <v>14</v>
      </c>
      <c r="B17" s="33">
        <v>1</v>
      </c>
      <c r="C17" s="231">
        <v>1</v>
      </c>
      <c r="D17" s="34">
        <v>1046759</v>
      </c>
      <c r="E17" s="34">
        <f t="shared" si="1"/>
        <v>1046759</v>
      </c>
      <c r="F17" s="35">
        <f t="shared" si="2"/>
        <v>1046759</v>
      </c>
      <c r="G17" s="36">
        <v>0</v>
      </c>
      <c r="H17" s="35"/>
      <c r="I17" s="35"/>
      <c r="J17" s="36">
        <v>0</v>
      </c>
      <c r="K17" s="35"/>
      <c r="L17" s="35"/>
      <c r="M17" s="37">
        <f t="shared" si="0"/>
        <v>1</v>
      </c>
      <c r="N17" s="13"/>
      <c r="O17" s="13"/>
      <c r="P17" s="13"/>
      <c r="Q17" s="13"/>
    </row>
    <row r="18" spans="1:17" ht="15" x14ac:dyDescent="0.2">
      <c r="A18" s="31" t="s">
        <v>176</v>
      </c>
      <c r="B18" s="33">
        <v>3</v>
      </c>
      <c r="C18" s="33">
        <v>3</v>
      </c>
      <c r="D18" s="34">
        <v>2135389</v>
      </c>
      <c r="E18" s="34">
        <f t="shared" si="1"/>
        <v>6406167</v>
      </c>
      <c r="F18" s="35">
        <f t="shared" si="2"/>
        <v>6406167</v>
      </c>
      <c r="G18" s="36">
        <v>0</v>
      </c>
      <c r="H18" s="35"/>
      <c r="I18" s="35"/>
      <c r="J18" s="36">
        <v>0</v>
      </c>
      <c r="K18" s="35"/>
      <c r="L18" s="35">
        <v>6406167</v>
      </c>
      <c r="M18" s="37">
        <f t="shared" si="0"/>
        <v>1</v>
      </c>
      <c r="N18" s="13"/>
      <c r="O18" s="13"/>
      <c r="P18" s="13"/>
      <c r="Q18" s="13"/>
    </row>
    <row r="19" spans="1:17" ht="15" x14ac:dyDescent="0.2">
      <c r="A19" s="131" t="s">
        <v>15</v>
      </c>
      <c r="B19" s="33">
        <v>5</v>
      </c>
      <c r="C19" s="129">
        <v>0</v>
      </c>
      <c r="D19" s="34">
        <v>323000</v>
      </c>
      <c r="E19" s="34">
        <f t="shared" si="1"/>
        <v>1615000</v>
      </c>
      <c r="F19" s="35">
        <f t="shared" si="2"/>
        <v>0</v>
      </c>
      <c r="G19" s="36">
        <v>0</v>
      </c>
      <c r="H19" s="35"/>
      <c r="I19" s="35"/>
      <c r="J19" s="36">
        <v>0</v>
      </c>
      <c r="K19" s="35"/>
      <c r="L19" s="35"/>
      <c r="M19" s="37">
        <f t="shared" si="0"/>
        <v>0</v>
      </c>
      <c r="N19" s="13"/>
      <c r="O19" s="13"/>
      <c r="P19" s="13"/>
      <c r="Q19" s="13"/>
    </row>
    <row r="20" spans="1:17" x14ac:dyDescent="0.2">
      <c r="A20" s="363" t="s">
        <v>16</v>
      </c>
      <c r="B20" s="363"/>
      <c r="C20" s="363"/>
      <c r="D20" s="363"/>
      <c r="E20" s="39">
        <f>SUM(E13:E19)</f>
        <v>33350348</v>
      </c>
      <c r="F20" s="40">
        <f>SUM(F13:F19)</f>
        <v>31735348</v>
      </c>
      <c r="G20" s="40"/>
      <c r="H20" s="40"/>
      <c r="I20" s="40"/>
      <c r="J20" s="40"/>
      <c r="K20" s="40"/>
      <c r="L20" s="40">
        <f>SUM(L13:L19)</f>
        <v>6406167</v>
      </c>
      <c r="M20" s="41">
        <f t="shared" si="0"/>
        <v>0.95157471820084161</v>
      </c>
      <c r="N20" s="17"/>
      <c r="O20" s="17"/>
      <c r="P20" s="17"/>
      <c r="Q20" s="17"/>
    </row>
    <row r="21" spans="1:17" x14ac:dyDescent="0.2">
      <c r="A21" s="363" t="s">
        <v>17</v>
      </c>
      <c r="B21" s="363"/>
      <c r="C21" s="363"/>
      <c r="D21" s="363"/>
      <c r="E21" s="363"/>
      <c r="F21" s="363"/>
      <c r="G21" s="242"/>
      <c r="H21" s="242"/>
      <c r="I21" s="242"/>
      <c r="J21" s="242"/>
      <c r="K21" s="242"/>
      <c r="L21" s="242"/>
      <c r="M21" s="31"/>
      <c r="N21" s="18"/>
      <c r="O21" s="18"/>
      <c r="P21" s="18"/>
      <c r="Q21" s="18"/>
    </row>
    <row r="22" spans="1:17" ht="23.25" customHeight="1" x14ac:dyDescent="0.2">
      <c r="A22" s="43" t="s">
        <v>190</v>
      </c>
      <c r="B22" s="33">
        <v>2</v>
      </c>
      <c r="C22" s="33">
        <v>2</v>
      </c>
      <c r="D22" s="34">
        <v>3887963</v>
      </c>
      <c r="E22" s="34">
        <f>B22*D22</f>
        <v>7775926</v>
      </c>
      <c r="F22" s="35">
        <f>C22*D22</f>
        <v>7775926</v>
      </c>
      <c r="G22" s="36">
        <v>0</v>
      </c>
      <c r="H22" s="35"/>
      <c r="I22" s="35"/>
      <c r="J22" s="36">
        <v>0</v>
      </c>
      <c r="K22" s="35"/>
      <c r="L22" s="35">
        <v>7775926</v>
      </c>
      <c r="M22" s="37">
        <f>F22/E22</f>
        <v>1</v>
      </c>
      <c r="N22" s="13"/>
      <c r="O22" s="13"/>
      <c r="P22" s="13"/>
      <c r="Q22" s="13"/>
    </row>
    <row r="23" spans="1:17" ht="43.5" customHeight="1" x14ac:dyDescent="0.2">
      <c r="A23" s="44" t="s">
        <v>94</v>
      </c>
      <c r="B23" s="33">
        <v>2</v>
      </c>
      <c r="C23" s="33">
        <v>2</v>
      </c>
      <c r="D23" s="34">
        <v>5383333</v>
      </c>
      <c r="E23" s="34">
        <v>10766667</v>
      </c>
      <c r="F23" s="35">
        <f>C23*D23</f>
        <v>10766666</v>
      </c>
      <c r="G23" s="36">
        <v>0</v>
      </c>
      <c r="H23" s="35">
        <v>2</v>
      </c>
      <c r="I23" s="35">
        <v>2</v>
      </c>
      <c r="J23" s="36">
        <v>0</v>
      </c>
      <c r="K23" s="35">
        <v>10766666</v>
      </c>
      <c r="L23" s="35"/>
      <c r="M23" s="37">
        <f>F23/E23</f>
        <v>0.99999990712074593</v>
      </c>
      <c r="N23" s="13"/>
      <c r="O23" s="13"/>
      <c r="P23" s="13"/>
      <c r="Q23" s="13"/>
    </row>
    <row r="24" spans="1:17" x14ac:dyDescent="0.2">
      <c r="A24" s="363" t="s">
        <v>19</v>
      </c>
      <c r="B24" s="363"/>
      <c r="C24" s="363"/>
      <c r="D24" s="363"/>
      <c r="E24" s="39">
        <f>SUM(E22:E23)</f>
        <v>18542593</v>
      </c>
      <c r="F24" s="40">
        <f>SUM(F22:F23)</f>
        <v>18542592</v>
      </c>
      <c r="G24" s="40"/>
      <c r="H24" s="40"/>
      <c r="I24" s="40"/>
      <c r="J24" s="40"/>
      <c r="K24" s="40">
        <v>10766666</v>
      </c>
      <c r="L24" s="40">
        <f>SUM(L22:L23)</f>
        <v>7775926</v>
      </c>
      <c r="M24" s="41">
        <f>F24/E24</f>
        <v>0.99999994607011</v>
      </c>
      <c r="N24" s="17"/>
      <c r="O24" s="17"/>
      <c r="P24" s="17"/>
      <c r="Q24" s="17"/>
    </row>
    <row r="25" spans="1:17" x14ac:dyDescent="0.2">
      <c r="A25" s="363" t="s">
        <v>20</v>
      </c>
      <c r="B25" s="363"/>
      <c r="C25" s="363"/>
      <c r="D25" s="363"/>
      <c r="E25" s="363"/>
      <c r="F25" s="363"/>
      <c r="G25" s="242"/>
      <c r="H25" s="242"/>
      <c r="I25" s="242"/>
      <c r="J25" s="242"/>
      <c r="K25" s="242"/>
      <c r="L25" s="242"/>
      <c r="M25" s="31"/>
      <c r="N25" s="18"/>
      <c r="O25" s="18"/>
      <c r="P25" s="18"/>
      <c r="Q25" s="18"/>
    </row>
    <row r="26" spans="1:17" ht="15" x14ac:dyDescent="0.2">
      <c r="A26" s="131" t="s">
        <v>21</v>
      </c>
      <c r="B26" s="33">
        <v>4</v>
      </c>
      <c r="C26" s="33">
        <v>1</v>
      </c>
      <c r="D26" s="34">
        <v>193800</v>
      </c>
      <c r="E26" s="34">
        <f>B26*D26</f>
        <v>775200</v>
      </c>
      <c r="F26" s="35">
        <f>C26*D26</f>
        <v>193800</v>
      </c>
      <c r="G26" s="36">
        <v>0</v>
      </c>
      <c r="H26" s="35"/>
      <c r="I26" s="35"/>
      <c r="J26" s="36">
        <v>0</v>
      </c>
      <c r="K26" s="35"/>
      <c r="L26" s="35"/>
      <c r="M26" s="37">
        <f>F26/E26</f>
        <v>0.25</v>
      </c>
      <c r="N26" s="13"/>
      <c r="O26" s="13"/>
      <c r="P26" s="13"/>
      <c r="Q26" s="13"/>
    </row>
    <row r="27" spans="1:17" ht="15" x14ac:dyDescent="0.2">
      <c r="A27" s="131" t="s">
        <v>22</v>
      </c>
      <c r="B27" s="33">
        <v>4</v>
      </c>
      <c r="C27" s="129">
        <v>4</v>
      </c>
      <c r="D27" s="34">
        <v>93311</v>
      </c>
      <c r="E27" s="34">
        <f>B27*D27</f>
        <v>373244</v>
      </c>
      <c r="F27" s="35">
        <f>C27*D27</f>
        <v>373244</v>
      </c>
      <c r="G27" s="36">
        <v>0</v>
      </c>
      <c r="H27" s="35"/>
      <c r="I27" s="35"/>
      <c r="J27" s="36">
        <v>0</v>
      </c>
      <c r="K27" s="35"/>
      <c r="L27" s="35"/>
      <c r="M27" s="37">
        <f>F27/E27</f>
        <v>1</v>
      </c>
      <c r="N27" s="13"/>
      <c r="O27" s="13"/>
      <c r="P27" s="13"/>
      <c r="Q27" s="13"/>
    </row>
    <row r="28" spans="1:17" ht="15" x14ac:dyDescent="0.2">
      <c r="A28" s="31" t="s">
        <v>23</v>
      </c>
      <c r="B28" s="33">
        <v>3</v>
      </c>
      <c r="C28" s="33">
        <v>3</v>
      </c>
      <c r="D28" s="34">
        <v>260194</v>
      </c>
      <c r="E28" s="34">
        <v>780583</v>
      </c>
      <c r="F28" s="35">
        <f>C28*D28</f>
        <v>780582</v>
      </c>
      <c r="G28" s="36">
        <v>0</v>
      </c>
      <c r="H28" s="35"/>
      <c r="I28" s="35"/>
      <c r="J28" s="36">
        <v>0</v>
      </c>
      <c r="K28" s="35"/>
      <c r="L28" s="35"/>
      <c r="M28" s="37">
        <f>F28/E28</f>
        <v>0.99999871890625336</v>
      </c>
      <c r="N28" s="13"/>
      <c r="O28" s="13"/>
      <c r="P28" s="13"/>
      <c r="Q28" s="13"/>
    </row>
    <row r="29" spans="1:17" ht="15" x14ac:dyDescent="0.2">
      <c r="A29" s="38" t="s">
        <v>24</v>
      </c>
      <c r="B29" s="33"/>
      <c r="C29" s="33"/>
      <c r="D29" s="34"/>
      <c r="E29" s="39">
        <v>1929028</v>
      </c>
      <c r="F29" s="35">
        <f>SUM(F26:F28)</f>
        <v>1347626</v>
      </c>
      <c r="G29" s="36">
        <v>0</v>
      </c>
      <c r="H29" s="35"/>
      <c r="I29" s="35"/>
      <c r="J29" s="36">
        <v>0</v>
      </c>
      <c r="K29" s="35"/>
      <c r="L29" s="35">
        <f ca="1">SUM(L26:L29)</f>
        <v>0</v>
      </c>
      <c r="M29" s="37">
        <f>F29/E29</f>
        <v>0.69860364909166695</v>
      </c>
      <c r="N29" s="13"/>
      <c r="O29" s="13"/>
      <c r="P29" s="13"/>
      <c r="Q29" s="13"/>
    </row>
    <row r="30" spans="1:17" x14ac:dyDescent="0.2">
      <c r="A30" s="363" t="s">
        <v>25</v>
      </c>
      <c r="B30" s="363"/>
      <c r="C30" s="363"/>
      <c r="D30" s="363"/>
      <c r="E30" s="39">
        <f>E10+E20+E24+E29</f>
        <v>105519913</v>
      </c>
      <c r="F30" s="40">
        <f>F10+F20+F24+F29</f>
        <v>103323510</v>
      </c>
      <c r="G30" s="40"/>
      <c r="H30" s="40"/>
      <c r="I30" s="40"/>
      <c r="J30" s="40"/>
      <c r="K30" s="40"/>
      <c r="L30" s="40"/>
      <c r="M30" s="41">
        <f>F30/E30</f>
        <v>0.9791849430353492</v>
      </c>
      <c r="N30" s="17"/>
      <c r="O30" s="17"/>
      <c r="P30" s="17"/>
      <c r="Q30" s="17"/>
    </row>
    <row r="31" spans="1:17" x14ac:dyDescent="0.2">
      <c r="A31" s="31"/>
      <c r="B31" s="33"/>
      <c r="C31" s="33"/>
      <c r="D31" s="34"/>
      <c r="E31" s="34"/>
      <c r="F31" s="31"/>
      <c r="G31" s="31"/>
      <c r="H31" s="33"/>
      <c r="I31" s="31"/>
      <c r="J31" s="31"/>
      <c r="K31" s="31"/>
      <c r="L31" s="31"/>
      <c r="M31" s="31"/>
      <c r="N31" s="18"/>
      <c r="O31" s="18"/>
      <c r="P31" s="18"/>
      <c r="Q31" s="18"/>
    </row>
    <row r="32" spans="1:17" x14ac:dyDescent="0.2">
      <c r="A32" s="366" t="s">
        <v>26</v>
      </c>
      <c r="B32" s="366"/>
      <c r="C32" s="366"/>
      <c r="D32" s="366"/>
      <c r="E32" s="366"/>
      <c r="F32" s="366"/>
      <c r="G32" s="242"/>
      <c r="H32" s="242"/>
      <c r="I32" s="242"/>
      <c r="J32" s="242"/>
      <c r="K32" s="242"/>
      <c r="L32" s="242"/>
      <c r="M32" s="31"/>
      <c r="N32" s="18"/>
      <c r="O32" s="18"/>
      <c r="P32" s="18"/>
      <c r="Q32" s="18"/>
    </row>
    <row r="33" spans="1:17" ht="15" x14ac:dyDescent="0.2">
      <c r="A33" s="31" t="s">
        <v>27</v>
      </c>
      <c r="B33" s="33">
        <v>1</v>
      </c>
      <c r="C33" s="33">
        <v>1</v>
      </c>
      <c r="D33" s="34">
        <v>1046759</v>
      </c>
      <c r="E33" s="34">
        <f>B33*D33</f>
        <v>1046759</v>
      </c>
      <c r="F33" s="35">
        <f t="shared" ref="F33:F41" si="3">C33*D33</f>
        <v>1046759</v>
      </c>
      <c r="G33" s="36">
        <v>0</v>
      </c>
      <c r="H33" s="35">
        <v>1</v>
      </c>
      <c r="I33" s="35">
        <v>1</v>
      </c>
      <c r="J33" s="36">
        <v>0</v>
      </c>
      <c r="K33" s="35">
        <v>1046759</v>
      </c>
      <c r="L33" s="35">
        <v>1046759</v>
      </c>
      <c r="M33" s="37">
        <f t="shared" ref="M33:M44" si="4">F33/E33</f>
        <v>1</v>
      </c>
      <c r="N33" s="13"/>
      <c r="O33" s="13"/>
      <c r="P33" s="13"/>
      <c r="Q33" s="13"/>
    </row>
    <row r="34" spans="1:17" ht="28.5" x14ac:dyDescent="0.2">
      <c r="A34" s="32" t="s">
        <v>174</v>
      </c>
      <c r="B34" s="33">
        <v>2</v>
      </c>
      <c r="C34" s="33">
        <v>2</v>
      </c>
      <c r="D34" s="34">
        <v>1943981</v>
      </c>
      <c r="E34" s="34">
        <v>3887963</v>
      </c>
      <c r="F34" s="35">
        <f t="shared" si="3"/>
        <v>3887962</v>
      </c>
      <c r="G34" s="36">
        <v>0</v>
      </c>
      <c r="H34" s="35"/>
      <c r="I34" s="35"/>
      <c r="J34" s="36">
        <v>0</v>
      </c>
      <c r="K34" s="35"/>
      <c r="L34" s="35"/>
      <c r="M34" s="37">
        <f t="shared" si="4"/>
        <v>0.9999997427959062</v>
      </c>
      <c r="N34" s="13"/>
      <c r="O34" s="13"/>
      <c r="P34" s="13"/>
      <c r="Q34" s="13"/>
    </row>
    <row r="35" spans="1:17" ht="28.5" x14ac:dyDescent="0.2">
      <c r="A35" s="32" t="s">
        <v>177</v>
      </c>
      <c r="B35" s="33">
        <v>8</v>
      </c>
      <c r="C35" s="33">
        <v>8</v>
      </c>
      <c r="D35" s="34">
        <v>265457</v>
      </c>
      <c r="E35" s="34">
        <v>2123659</v>
      </c>
      <c r="F35" s="35">
        <f t="shared" si="3"/>
        <v>2123656</v>
      </c>
      <c r="G35" s="36">
        <v>0</v>
      </c>
      <c r="H35" s="35"/>
      <c r="I35" s="35"/>
      <c r="J35" s="36">
        <v>0</v>
      </c>
      <c r="K35" s="35"/>
      <c r="L35" s="35">
        <v>2123656</v>
      </c>
      <c r="M35" s="37">
        <f t="shared" si="4"/>
        <v>0.99999858734382496</v>
      </c>
      <c r="N35" s="13"/>
      <c r="O35" s="13"/>
      <c r="P35" s="13"/>
      <c r="Q35" s="13"/>
    </row>
    <row r="36" spans="1:17" ht="15" x14ac:dyDescent="0.2">
      <c r="A36" s="31" t="s">
        <v>29</v>
      </c>
      <c r="B36" s="33">
        <v>3</v>
      </c>
      <c r="C36" s="33">
        <v>3</v>
      </c>
      <c r="D36" s="34">
        <v>1046759</v>
      </c>
      <c r="E36" s="34">
        <v>3140278</v>
      </c>
      <c r="F36" s="35">
        <f t="shared" si="3"/>
        <v>3140277</v>
      </c>
      <c r="G36" s="36">
        <v>0</v>
      </c>
      <c r="H36" s="35"/>
      <c r="I36" s="35"/>
      <c r="J36" s="36">
        <v>0</v>
      </c>
      <c r="K36" s="35"/>
      <c r="L36" s="35">
        <v>3140277</v>
      </c>
      <c r="M36" s="37">
        <f t="shared" si="4"/>
        <v>0.99999968155685581</v>
      </c>
      <c r="N36" s="13"/>
      <c r="O36" s="13"/>
      <c r="P36" s="13"/>
      <c r="Q36" s="13"/>
    </row>
    <row r="37" spans="1:17" ht="44.25" customHeight="1" x14ac:dyDescent="0.2">
      <c r="A37" s="32" t="s">
        <v>179</v>
      </c>
      <c r="B37" s="33">
        <v>1</v>
      </c>
      <c r="C37" s="33">
        <v>1</v>
      </c>
      <c r="D37" s="34">
        <v>2213148</v>
      </c>
      <c r="E37" s="34">
        <v>2213148</v>
      </c>
      <c r="F37" s="35">
        <f t="shared" si="3"/>
        <v>2213148</v>
      </c>
      <c r="G37" s="36">
        <v>0</v>
      </c>
      <c r="H37" s="35"/>
      <c r="I37" s="35"/>
      <c r="J37" s="36">
        <v>0</v>
      </c>
      <c r="K37" s="35"/>
      <c r="L37" s="35">
        <v>2213148</v>
      </c>
      <c r="M37" s="37">
        <f t="shared" si="4"/>
        <v>1</v>
      </c>
      <c r="N37" s="13"/>
      <c r="O37" s="13"/>
      <c r="P37" s="13"/>
      <c r="Q37" s="13"/>
    </row>
    <row r="38" spans="1:17" ht="57" x14ac:dyDescent="0.2">
      <c r="A38" s="32" t="s">
        <v>178</v>
      </c>
      <c r="B38" s="33">
        <v>1</v>
      </c>
      <c r="C38" s="33">
        <v>1</v>
      </c>
      <c r="D38" s="34">
        <v>2990741</v>
      </c>
      <c r="E38" s="34">
        <f t="shared" ref="E38:E43" si="5">B38*D38</f>
        <v>2990741</v>
      </c>
      <c r="F38" s="35">
        <f t="shared" si="3"/>
        <v>2990741</v>
      </c>
      <c r="G38" s="36">
        <v>0</v>
      </c>
      <c r="H38" s="35"/>
      <c r="I38" s="35"/>
      <c r="J38" s="36">
        <v>0</v>
      </c>
      <c r="K38" s="35"/>
      <c r="L38" s="35">
        <v>2990741</v>
      </c>
      <c r="M38" s="37">
        <f t="shared" si="4"/>
        <v>1</v>
      </c>
      <c r="N38" s="13"/>
      <c r="O38" s="13"/>
      <c r="P38" s="13"/>
      <c r="Q38" s="13"/>
    </row>
    <row r="39" spans="1:17" ht="28.5" x14ac:dyDescent="0.2">
      <c r="A39" s="32" t="s">
        <v>180</v>
      </c>
      <c r="B39" s="33">
        <v>1</v>
      </c>
      <c r="C39" s="33">
        <v>1</v>
      </c>
      <c r="D39" s="34">
        <v>2762963</v>
      </c>
      <c r="E39" s="34">
        <f t="shared" si="5"/>
        <v>2762963</v>
      </c>
      <c r="F39" s="35">
        <f t="shared" si="3"/>
        <v>2762963</v>
      </c>
      <c r="G39" s="36">
        <v>0</v>
      </c>
      <c r="H39" s="35"/>
      <c r="I39" s="35"/>
      <c r="J39" s="36">
        <v>0</v>
      </c>
      <c r="K39" s="35"/>
      <c r="L39" s="35">
        <v>2762963</v>
      </c>
      <c r="M39" s="37">
        <f t="shared" si="4"/>
        <v>1</v>
      </c>
      <c r="N39" s="13"/>
      <c r="O39" s="13"/>
      <c r="P39" s="13"/>
      <c r="Q39" s="13"/>
    </row>
    <row r="40" spans="1:17" ht="42.75" x14ac:dyDescent="0.2">
      <c r="A40" s="32" t="s">
        <v>33</v>
      </c>
      <c r="B40" s="33">
        <v>1</v>
      </c>
      <c r="C40" s="33">
        <v>1</v>
      </c>
      <c r="D40" s="34">
        <v>2063611</v>
      </c>
      <c r="E40" s="34">
        <f t="shared" si="5"/>
        <v>2063611</v>
      </c>
      <c r="F40" s="35">
        <f t="shared" si="3"/>
        <v>2063611</v>
      </c>
      <c r="G40" s="36">
        <v>0</v>
      </c>
      <c r="H40" s="35"/>
      <c r="I40" s="35"/>
      <c r="J40" s="36">
        <v>0</v>
      </c>
      <c r="K40" s="35"/>
      <c r="L40" s="35"/>
      <c r="M40" s="37">
        <f t="shared" si="4"/>
        <v>1</v>
      </c>
      <c r="N40" s="13"/>
      <c r="O40" s="13"/>
      <c r="P40" s="13"/>
      <c r="Q40" s="13"/>
    </row>
    <row r="41" spans="1:17" ht="15" x14ac:dyDescent="0.2">
      <c r="A41" s="31" t="s">
        <v>34</v>
      </c>
      <c r="B41" s="33">
        <v>2</v>
      </c>
      <c r="C41" s="33">
        <v>2</v>
      </c>
      <c r="D41" s="34">
        <v>1088630</v>
      </c>
      <c r="E41" s="34">
        <v>2177259</v>
      </c>
      <c r="F41" s="35">
        <f t="shared" si="3"/>
        <v>2177260</v>
      </c>
      <c r="G41" s="36">
        <v>0</v>
      </c>
      <c r="H41" s="35"/>
      <c r="I41" s="35"/>
      <c r="J41" s="36">
        <v>0</v>
      </c>
      <c r="K41" s="35"/>
      <c r="L41" s="35"/>
      <c r="M41" s="37">
        <f t="shared" si="4"/>
        <v>1.0000004592930836</v>
      </c>
      <c r="N41" s="13"/>
      <c r="O41" s="13"/>
      <c r="P41" s="13"/>
      <c r="Q41" s="13"/>
    </row>
    <row r="42" spans="1:17" ht="15" x14ac:dyDescent="0.2">
      <c r="A42" s="31" t="s">
        <v>35</v>
      </c>
      <c r="B42" s="33">
        <v>2</v>
      </c>
      <c r="C42" s="33">
        <v>2</v>
      </c>
      <c r="D42" s="34">
        <v>508426</v>
      </c>
      <c r="E42" s="34">
        <f t="shared" si="5"/>
        <v>1016852</v>
      </c>
      <c r="F42" s="35">
        <f>C42*D42</f>
        <v>1016852</v>
      </c>
      <c r="G42" s="36">
        <v>0</v>
      </c>
      <c r="H42" s="35">
        <v>2</v>
      </c>
      <c r="I42" s="35">
        <v>2</v>
      </c>
      <c r="J42" s="36">
        <v>0</v>
      </c>
      <c r="K42" s="35">
        <v>1016852</v>
      </c>
      <c r="L42" s="35"/>
      <c r="M42" s="37">
        <f t="shared" si="4"/>
        <v>1</v>
      </c>
      <c r="N42" s="13"/>
      <c r="O42" s="13"/>
      <c r="P42" s="13"/>
      <c r="Q42" s="13"/>
    </row>
    <row r="43" spans="1:17" ht="15" x14ac:dyDescent="0.2">
      <c r="A43" s="31" t="s">
        <v>36</v>
      </c>
      <c r="B43" s="33">
        <v>2</v>
      </c>
      <c r="C43" s="33">
        <v>2</v>
      </c>
      <c r="D43" s="34">
        <v>2930926</v>
      </c>
      <c r="E43" s="34">
        <f t="shared" si="5"/>
        <v>5861852</v>
      </c>
      <c r="F43" s="35">
        <f>C43*D43</f>
        <v>5861852</v>
      </c>
      <c r="G43" s="36">
        <v>0</v>
      </c>
      <c r="H43" s="35">
        <v>2</v>
      </c>
      <c r="I43" s="35">
        <v>2</v>
      </c>
      <c r="J43" s="36">
        <v>0</v>
      </c>
      <c r="K43" s="35">
        <v>5861852</v>
      </c>
      <c r="L43" s="35"/>
      <c r="M43" s="37">
        <f t="shared" si="4"/>
        <v>1</v>
      </c>
      <c r="N43" s="13"/>
      <c r="O43" s="13"/>
      <c r="P43" s="13"/>
      <c r="Q43" s="13"/>
    </row>
    <row r="44" spans="1:17" x14ac:dyDescent="0.2">
      <c r="A44" s="363" t="s">
        <v>37</v>
      </c>
      <c r="B44" s="363"/>
      <c r="C44" s="363"/>
      <c r="D44" s="363"/>
      <c r="E44" s="39">
        <f>SUM(E33:E43)</f>
        <v>29285085</v>
      </c>
      <c r="F44" s="40">
        <f>SUM(F33:F43)</f>
        <v>29285081</v>
      </c>
      <c r="G44" s="40"/>
      <c r="H44" s="40"/>
      <c r="I44" s="40"/>
      <c r="J44" s="40"/>
      <c r="K44" s="40">
        <v>7925463</v>
      </c>
      <c r="L44" s="40">
        <f>SUM(L33:L43)</f>
        <v>14277544</v>
      </c>
      <c r="M44" s="41">
        <f t="shared" si="4"/>
        <v>0.99999986341169911</v>
      </c>
      <c r="N44" s="17"/>
      <c r="O44" s="17"/>
      <c r="P44" s="17"/>
      <c r="Q44" s="17"/>
    </row>
    <row r="45" spans="1:17" x14ac:dyDescent="0.2">
      <c r="A45" s="31"/>
      <c r="B45" s="33"/>
      <c r="C45" s="33"/>
      <c r="D45" s="34"/>
      <c r="E45" s="34"/>
      <c r="F45" s="31"/>
      <c r="G45" s="31"/>
      <c r="H45" s="33"/>
      <c r="I45" s="31"/>
      <c r="J45" s="31"/>
      <c r="K45" s="31"/>
      <c r="L45" s="31"/>
      <c r="M45" s="31"/>
      <c r="N45" s="18"/>
      <c r="O45" s="18"/>
      <c r="P45" s="18"/>
      <c r="Q45" s="18"/>
    </row>
    <row r="46" spans="1:17" x14ac:dyDescent="0.2">
      <c r="A46" s="366" t="s">
        <v>38</v>
      </c>
      <c r="B46" s="366"/>
      <c r="C46" s="366"/>
      <c r="D46" s="366"/>
      <c r="E46" s="366"/>
      <c r="F46" s="366"/>
      <c r="G46" s="242"/>
      <c r="H46" s="242"/>
      <c r="I46" s="242"/>
      <c r="J46" s="242"/>
      <c r="K46" s="242"/>
      <c r="L46" s="242"/>
      <c r="M46" s="31"/>
      <c r="N46" s="18"/>
      <c r="O46" s="18"/>
      <c r="P46" s="18"/>
      <c r="Q46" s="18"/>
    </row>
    <row r="47" spans="1:17" x14ac:dyDescent="0.2">
      <c r="A47" s="31" t="s">
        <v>39</v>
      </c>
      <c r="B47" s="33"/>
      <c r="C47" s="33"/>
      <c r="D47" s="34"/>
      <c r="E47" s="34"/>
      <c r="F47" s="31"/>
      <c r="G47" s="31"/>
      <c r="H47" s="33"/>
      <c r="I47" s="31"/>
      <c r="J47" s="31"/>
      <c r="K47" s="31"/>
      <c r="L47" s="31"/>
      <c r="M47" s="31"/>
      <c r="N47" s="18"/>
      <c r="O47" s="18"/>
      <c r="P47" s="18"/>
      <c r="Q47" s="18"/>
    </row>
    <row r="48" spans="1:17" ht="15" x14ac:dyDescent="0.2">
      <c r="A48" s="31" t="s">
        <v>40</v>
      </c>
      <c r="B48" s="33">
        <v>1</v>
      </c>
      <c r="C48" s="33">
        <v>1</v>
      </c>
      <c r="D48" s="34">
        <v>1196296</v>
      </c>
      <c r="E48" s="34">
        <f>B48*D48</f>
        <v>1196296</v>
      </c>
      <c r="F48" s="35">
        <f>C48*D48</f>
        <v>1196296</v>
      </c>
      <c r="G48" s="36">
        <v>0</v>
      </c>
      <c r="H48" s="35">
        <v>1</v>
      </c>
      <c r="I48" s="35">
        <v>1</v>
      </c>
      <c r="J48" s="36">
        <v>0</v>
      </c>
      <c r="K48" s="35">
        <v>1196296</v>
      </c>
      <c r="L48" s="35"/>
      <c r="M48" s="37">
        <f>F48/E48</f>
        <v>1</v>
      </c>
      <c r="N48" s="13"/>
      <c r="O48" s="13"/>
      <c r="P48" s="13"/>
      <c r="Q48" s="13"/>
    </row>
    <row r="49" spans="1:17" ht="15" x14ac:dyDescent="0.2">
      <c r="A49" s="31" t="s">
        <v>41</v>
      </c>
      <c r="B49" s="33">
        <v>1</v>
      </c>
      <c r="C49" s="33">
        <v>1</v>
      </c>
      <c r="D49" s="34">
        <v>598148</v>
      </c>
      <c r="E49" s="34">
        <f>B49*D49</f>
        <v>598148</v>
      </c>
      <c r="F49" s="35">
        <f>C49*D49</f>
        <v>598148</v>
      </c>
      <c r="G49" s="36">
        <v>0</v>
      </c>
      <c r="H49" s="35">
        <v>1</v>
      </c>
      <c r="I49" s="35">
        <v>1</v>
      </c>
      <c r="J49" s="36">
        <v>0</v>
      </c>
      <c r="K49" s="35">
        <v>598148</v>
      </c>
      <c r="L49" s="35"/>
      <c r="M49" s="37">
        <f>F49/E49</f>
        <v>1</v>
      </c>
      <c r="N49" s="13"/>
      <c r="O49" s="13"/>
      <c r="P49" s="13"/>
      <c r="Q49" s="13"/>
    </row>
    <row r="50" spans="1:17" ht="15" x14ac:dyDescent="0.2">
      <c r="A50" s="31" t="s">
        <v>42</v>
      </c>
      <c r="B50" s="33">
        <v>1</v>
      </c>
      <c r="C50" s="33">
        <v>1</v>
      </c>
      <c r="D50" s="34">
        <v>598148</v>
      </c>
      <c r="E50" s="34">
        <f>B50*D50</f>
        <v>598148</v>
      </c>
      <c r="F50" s="35">
        <f>C50*D50</f>
        <v>598148</v>
      </c>
      <c r="G50" s="36">
        <v>0</v>
      </c>
      <c r="H50" s="35">
        <v>1</v>
      </c>
      <c r="I50" s="35">
        <v>1</v>
      </c>
      <c r="J50" s="36">
        <v>0</v>
      </c>
      <c r="K50" s="35">
        <v>598148</v>
      </c>
      <c r="L50" s="35"/>
      <c r="M50" s="37">
        <f>F50/E50</f>
        <v>1</v>
      </c>
      <c r="N50" s="13"/>
      <c r="O50" s="13"/>
      <c r="P50" s="13"/>
      <c r="Q50" s="13"/>
    </row>
    <row r="51" spans="1:17" x14ac:dyDescent="0.2">
      <c r="A51" s="363" t="s">
        <v>43</v>
      </c>
      <c r="B51" s="363"/>
      <c r="C51" s="363"/>
      <c r="D51" s="363"/>
      <c r="E51" s="39">
        <v>2392593</v>
      </c>
      <c r="F51" s="40">
        <f>SUM(F48:F50)</f>
        <v>2392592</v>
      </c>
      <c r="G51" s="40"/>
      <c r="H51" s="40"/>
      <c r="I51" s="40"/>
      <c r="J51" s="40"/>
      <c r="K51" s="40">
        <v>2392592</v>
      </c>
      <c r="L51" s="40">
        <f>SUM(L48:L50)</f>
        <v>0</v>
      </c>
      <c r="M51" s="41">
        <f>F51/E51</f>
        <v>0.99999958204341477</v>
      </c>
      <c r="N51" s="17"/>
      <c r="O51" s="17"/>
      <c r="P51" s="17"/>
      <c r="Q51" s="17"/>
    </row>
    <row r="52" spans="1:17" x14ac:dyDescent="0.2">
      <c r="A52" s="38" t="s">
        <v>44</v>
      </c>
      <c r="B52" s="33"/>
      <c r="C52" s="33"/>
      <c r="D52" s="34"/>
      <c r="E52" s="34"/>
      <c r="F52" s="31"/>
      <c r="G52" s="31"/>
      <c r="H52" s="33"/>
      <c r="I52" s="31"/>
      <c r="J52" s="31"/>
      <c r="K52" s="31"/>
      <c r="L52" s="31"/>
      <c r="M52" s="31"/>
      <c r="N52" s="18"/>
      <c r="O52" s="18"/>
      <c r="P52" s="18"/>
      <c r="Q52" s="18"/>
    </row>
    <row r="53" spans="1:17" x14ac:dyDescent="0.2">
      <c r="A53" s="38" t="s">
        <v>92</v>
      </c>
      <c r="B53" s="33"/>
      <c r="C53" s="33"/>
      <c r="D53" s="34"/>
      <c r="E53" s="34"/>
      <c r="F53" s="31"/>
      <c r="G53" s="31"/>
      <c r="H53" s="33"/>
      <c r="I53" s="31"/>
      <c r="J53" s="31"/>
      <c r="K53" s="31"/>
      <c r="L53" s="31"/>
      <c r="M53" s="31"/>
      <c r="N53" s="18"/>
      <c r="O53" s="18"/>
      <c r="P53" s="18"/>
      <c r="Q53" s="18"/>
    </row>
    <row r="54" spans="1:17" ht="15" x14ac:dyDescent="0.2">
      <c r="A54" s="31" t="s">
        <v>45</v>
      </c>
      <c r="B54" s="33">
        <v>12</v>
      </c>
      <c r="C54" s="33">
        <v>12</v>
      </c>
      <c r="D54" s="34">
        <v>89722</v>
      </c>
      <c r="E54" s="34">
        <f>B54*D54</f>
        <v>1076664</v>
      </c>
      <c r="F54" s="35">
        <f>C54*D54</f>
        <v>1076664</v>
      </c>
      <c r="G54" s="36">
        <v>0</v>
      </c>
      <c r="H54" s="35"/>
      <c r="I54" s="35"/>
      <c r="J54" s="36">
        <v>0</v>
      </c>
      <c r="K54" s="35"/>
      <c r="L54" s="35"/>
      <c r="M54" s="37">
        <f t="shared" ref="M54:M59" si="6">F54/E54</f>
        <v>1</v>
      </c>
      <c r="N54" s="13"/>
      <c r="O54" s="13"/>
      <c r="P54" s="13"/>
      <c r="Q54" s="13"/>
    </row>
    <row r="55" spans="1:17" ht="15" x14ac:dyDescent="0.2">
      <c r="A55" s="131" t="s">
        <v>46</v>
      </c>
      <c r="B55" s="33">
        <v>3</v>
      </c>
      <c r="C55" s="129">
        <v>2</v>
      </c>
      <c r="D55" s="34">
        <v>119630</v>
      </c>
      <c r="E55" s="34">
        <f>B55*D55</f>
        <v>358890</v>
      </c>
      <c r="F55" s="35">
        <f>C55*D55</f>
        <v>239260</v>
      </c>
      <c r="G55" s="36">
        <v>0</v>
      </c>
      <c r="H55" s="35"/>
      <c r="I55" s="35"/>
      <c r="J55" s="36">
        <v>0</v>
      </c>
      <c r="K55" s="35"/>
      <c r="L55" s="35"/>
      <c r="M55" s="37">
        <f t="shared" si="6"/>
        <v>0.66666666666666663</v>
      </c>
      <c r="N55" s="13"/>
      <c r="O55" s="13"/>
      <c r="P55" s="13"/>
      <c r="Q55" s="13"/>
    </row>
    <row r="56" spans="1:17" ht="15" x14ac:dyDescent="0.2">
      <c r="A56" s="31" t="s">
        <v>47</v>
      </c>
      <c r="B56" s="33">
        <v>2</v>
      </c>
      <c r="C56" s="33">
        <v>2</v>
      </c>
      <c r="D56" s="34">
        <v>193800</v>
      </c>
      <c r="E56" s="34">
        <f>B56*D56</f>
        <v>387600</v>
      </c>
      <c r="F56" s="35">
        <f>C56*D56</f>
        <v>387600</v>
      </c>
      <c r="G56" s="36">
        <v>0</v>
      </c>
      <c r="H56" s="35"/>
      <c r="I56" s="35"/>
      <c r="J56" s="36">
        <v>0</v>
      </c>
      <c r="K56" s="35">
        <v>387600</v>
      </c>
      <c r="L56" s="35"/>
      <c r="M56" s="37">
        <f t="shared" si="6"/>
        <v>1</v>
      </c>
      <c r="N56" s="13"/>
      <c r="O56" s="13"/>
      <c r="P56" s="13"/>
      <c r="Q56" s="13"/>
    </row>
    <row r="57" spans="1:17" ht="15" x14ac:dyDescent="0.2">
      <c r="A57" s="31" t="s">
        <v>48</v>
      </c>
      <c r="B57" s="33">
        <v>3</v>
      </c>
      <c r="C57" s="33">
        <v>3</v>
      </c>
      <c r="D57" s="34">
        <v>119630</v>
      </c>
      <c r="E57" s="34">
        <f>358889</f>
        <v>358889</v>
      </c>
      <c r="F57" s="35">
        <v>358889</v>
      </c>
      <c r="G57" s="36">
        <v>0</v>
      </c>
      <c r="H57" s="35">
        <v>3</v>
      </c>
      <c r="I57" s="35">
        <v>3</v>
      </c>
      <c r="J57" s="36">
        <v>0</v>
      </c>
      <c r="K57" s="35">
        <v>358890</v>
      </c>
      <c r="L57" s="35"/>
      <c r="M57" s="37">
        <f t="shared" si="6"/>
        <v>1</v>
      </c>
      <c r="N57" s="13"/>
      <c r="O57" s="13"/>
      <c r="P57" s="13"/>
      <c r="Q57" s="13"/>
    </row>
    <row r="58" spans="1:17" ht="15" x14ac:dyDescent="0.2">
      <c r="A58" s="31" t="s">
        <v>49</v>
      </c>
      <c r="B58" s="33">
        <v>2</v>
      </c>
      <c r="C58" s="33">
        <v>2</v>
      </c>
      <c r="D58" s="34">
        <v>209352</v>
      </c>
      <c r="E58" s="34">
        <f>B58*D58</f>
        <v>418704</v>
      </c>
      <c r="F58" s="35">
        <f>C58*D58</f>
        <v>418704</v>
      </c>
      <c r="G58" s="36">
        <v>0</v>
      </c>
      <c r="H58" s="35">
        <v>2</v>
      </c>
      <c r="I58" s="35">
        <v>2</v>
      </c>
      <c r="J58" s="36">
        <v>0</v>
      </c>
      <c r="K58" s="35">
        <v>418704</v>
      </c>
      <c r="L58" s="35"/>
      <c r="M58" s="37">
        <f t="shared" si="6"/>
        <v>1</v>
      </c>
      <c r="N58" s="13"/>
      <c r="O58" s="13"/>
      <c r="P58" s="13"/>
      <c r="Q58" s="13"/>
    </row>
    <row r="59" spans="1:17" x14ac:dyDescent="0.2">
      <c r="A59" s="363" t="s">
        <v>50</v>
      </c>
      <c r="B59" s="363"/>
      <c r="C59" s="363"/>
      <c r="D59" s="363"/>
      <c r="E59" s="39">
        <f>2600748</f>
        <v>2600748</v>
      </c>
      <c r="F59" s="40">
        <f>SUM(F54:F58)</f>
        <v>2481117</v>
      </c>
      <c r="G59" s="40"/>
      <c r="H59" s="40"/>
      <c r="I59" s="40"/>
      <c r="J59" s="40"/>
      <c r="K59" s="40">
        <v>1165194</v>
      </c>
      <c r="L59" s="40">
        <f>L56+L57+L58+L55+L54</f>
        <v>0</v>
      </c>
      <c r="M59" s="41">
        <f t="shared" si="6"/>
        <v>0.95400131039224101</v>
      </c>
      <c r="N59" s="17"/>
      <c r="O59" s="17"/>
      <c r="P59" s="17"/>
      <c r="Q59" s="17"/>
    </row>
    <row r="60" spans="1:17" x14ac:dyDescent="0.2">
      <c r="A60" s="38" t="s">
        <v>101</v>
      </c>
      <c r="B60" s="33"/>
      <c r="C60" s="33"/>
      <c r="D60" s="34"/>
      <c r="E60" s="34"/>
      <c r="F60" s="31"/>
      <c r="G60" s="31"/>
      <c r="H60" s="33"/>
      <c r="I60" s="31"/>
      <c r="J60" s="31"/>
      <c r="K60" s="31"/>
      <c r="L60" s="31"/>
      <c r="M60" s="31"/>
      <c r="N60" s="18"/>
      <c r="O60" s="18"/>
      <c r="P60" s="18"/>
      <c r="Q60" s="18"/>
    </row>
    <row r="61" spans="1:17" ht="28.5" x14ac:dyDescent="0.2">
      <c r="A61" s="32" t="s">
        <v>52</v>
      </c>
      <c r="B61" s="33">
        <v>2</v>
      </c>
      <c r="C61" s="33">
        <v>2</v>
      </c>
      <c r="D61" s="34">
        <v>412722</v>
      </c>
      <c r="E61" s="34">
        <f>B61*D61</f>
        <v>825444</v>
      </c>
      <c r="F61" s="35">
        <f>C61*D61</f>
        <v>825444</v>
      </c>
      <c r="G61" s="36">
        <v>0</v>
      </c>
      <c r="H61" s="35">
        <v>2</v>
      </c>
      <c r="I61" s="35">
        <v>2</v>
      </c>
      <c r="J61" s="36">
        <v>0</v>
      </c>
      <c r="K61" s="35">
        <v>825444</v>
      </c>
      <c r="L61" s="35"/>
      <c r="M61" s="37">
        <f t="shared" ref="M61:M66" si="7">F61/E61</f>
        <v>1</v>
      </c>
      <c r="N61" s="13"/>
      <c r="O61" s="13"/>
      <c r="P61" s="13"/>
      <c r="Q61" s="13"/>
    </row>
    <row r="62" spans="1:17" ht="28.5" x14ac:dyDescent="0.2">
      <c r="A62" s="32" t="s">
        <v>53</v>
      </c>
      <c r="B62" s="33">
        <v>1</v>
      </c>
      <c r="C62" s="33">
        <v>1</v>
      </c>
      <c r="D62" s="34">
        <v>583793</v>
      </c>
      <c r="E62" s="34">
        <f>B62*D62</f>
        <v>583793</v>
      </c>
      <c r="F62" s="35">
        <f>C62*D62</f>
        <v>583793</v>
      </c>
      <c r="G62" s="36">
        <v>0</v>
      </c>
      <c r="H62" s="35">
        <v>1</v>
      </c>
      <c r="I62" s="35">
        <v>1</v>
      </c>
      <c r="J62" s="36">
        <v>0</v>
      </c>
      <c r="K62" s="35">
        <v>583793</v>
      </c>
      <c r="L62" s="35"/>
      <c r="M62" s="37">
        <f t="shared" si="7"/>
        <v>1</v>
      </c>
      <c r="N62" s="13"/>
      <c r="O62" s="13"/>
      <c r="P62" s="13"/>
      <c r="Q62" s="13"/>
    </row>
    <row r="63" spans="1:17" ht="15" x14ac:dyDescent="0.2">
      <c r="A63" s="31" t="s">
        <v>54</v>
      </c>
      <c r="B63" s="33">
        <v>10</v>
      </c>
      <c r="C63" s="33">
        <v>10</v>
      </c>
      <c r="D63" s="34">
        <v>67083</v>
      </c>
      <c r="E63" s="34">
        <f>670833</f>
        <v>670833</v>
      </c>
      <c r="F63" s="35">
        <f>C63*D63</f>
        <v>670830</v>
      </c>
      <c r="G63" s="36">
        <v>0</v>
      </c>
      <c r="H63" s="35">
        <v>10</v>
      </c>
      <c r="I63" s="35">
        <v>10</v>
      </c>
      <c r="J63" s="36">
        <v>0</v>
      </c>
      <c r="K63" s="35">
        <v>670830</v>
      </c>
      <c r="L63" s="35"/>
      <c r="M63" s="37">
        <f t="shared" si="7"/>
        <v>0.99999552794808844</v>
      </c>
      <c r="N63" s="13"/>
      <c r="O63" s="13"/>
      <c r="P63" s="13"/>
      <c r="Q63" s="13"/>
    </row>
    <row r="64" spans="1:17" ht="15" x14ac:dyDescent="0.2">
      <c r="A64" s="31" t="s">
        <v>55</v>
      </c>
      <c r="B64" s="33">
        <v>8</v>
      </c>
      <c r="C64" s="33">
        <v>8</v>
      </c>
      <c r="D64" s="34">
        <v>78333</v>
      </c>
      <c r="E64" s="34">
        <v>626667</v>
      </c>
      <c r="F64" s="35">
        <f>C64*D64</f>
        <v>626664</v>
      </c>
      <c r="G64" s="36">
        <v>0</v>
      </c>
      <c r="H64" s="35">
        <v>8</v>
      </c>
      <c r="I64" s="35">
        <v>8</v>
      </c>
      <c r="J64" s="36">
        <v>0</v>
      </c>
      <c r="K64" s="35">
        <v>626664</v>
      </c>
      <c r="L64" s="35"/>
      <c r="M64" s="37">
        <f t="shared" si="7"/>
        <v>0.99999521276850389</v>
      </c>
      <c r="N64" s="13"/>
      <c r="O64" s="13"/>
      <c r="P64" s="13"/>
      <c r="Q64" s="13"/>
    </row>
    <row r="65" spans="1:17" ht="28.5" x14ac:dyDescent="0.2">
      <c r="A65" s="32" t="s">
        <v>56</v>
      </c>
      <c r="B65" s="33">
        <v>1</v>
      </c>
      <c r="C65" s="33">
        <v>1</v>
      </c>
      <c r="D65" s="34">
        <v>6447074</v>
      </c>
      <c r="E65" s="34">
        <f>C65*D65</f>
        <v>6447074</v>
      </c>
      <c r="F65" s="35">
        <f>C65*D65</f>
        <v>6447074</v>
      </c>
      <c r="G65" s="36">
        <v>0</v>
      </c>
      <c r="H65" s="35">
        <v>1</v>
      </c>
      <c r="I65" s="35">
        <v>1</v>
      </c>
      <c r="J65" s="36">
        <v>0</v>
      </c>
      <c r="K65" s="35">
        <v>6447074</v>
      </c>
      <c r="L65" s="35"/>
      <c r="M65" s="37">
        <f t="shared" si="7"/>
        <v>1</v>
      </c>
      <c r="N65" s="13"/>
      <c r="O65" s="13"/>
      <c r="P65" s="13"/>
      <c r="Q65" s="13"/>
    </row>
    <row r="66" spans="1:17" x14ac:dyDescent="0.2">
      <c r="A66" s="363" t="s">
        <v>57</v>
      </c>
      <c r="B66" s="363"/>
      <c r="C66" s="363"/>
      <c r="D66" s="363"/>
      <c r="E66" s="39">
        <f>SUM(E61:E65)</f>
        <v>9153811</v>
      </c>
      <c r="F66" s="40">
        <f>SUM(F61:F65)</f>
        <v>9153805</v>
      </c>
      <c r="G66" s="40"/>
      <c r="H66" s="40"/>
      <c r="I66" s="40"/>
      <c r="J66" s="40"/>
      <c r="K66" s="40">
        <v>9153811</v>
      </c>
      <c r="L66" s="40">
        <f>SUM(L61:L65)</f>
        <v>0</v>
      </c>
      <c r="M66" s="41">
        <f t="shared" si="7"/>
        <v>0.99999934453529793</v>
      </c>
      <c r="N66" s="17"/>
      <c r="O66" s="17"/>
      <c r="P66" s="17"/>
      <c r="Q66" s="17"/>
    </row>
    <row r="67" spans="1:17" x14ac:dyDescent="0.2">
      <c r="A67" s="38" t="s">
        <v>175</v>
      </c>
      <c r="B67" s="33"/>
      <c r="C67" s="33"/>
      <c r="D67" s="34"/>
      <c r="E67" s="34"/>
      <c r="F67" s="31"/>
      <c r="G67" s="31"/>
      <c r="H67" s="33"/>
      <c r="I67" s="31"/>
      <c r="J67" s="31"/>
      <c r="K67" s="31"/>
      <c r="L67" s="31"/>
      <c r="M67" s="31"/>
      <c r="N67" s="18"/>
      <c r="O67" s="18"/>
      <c r="P67" s="18"/>
      <c r="Q67" s="18"/>
    </row>
    <row r="68" spans="1:17" ht="15" x14ac:dyDescent="0.2">
      <c r="A68" s="131" t="s">
        <v>165</v>
      </c>
      <c r="B68" s="33">
        <v>16</v>
      </c>
      <c r="C68" s="129">
        <v>15</v>
      </c>
      <c r="D68" s="34">
        <v>74170</v>
      </c>
      <c r="E68" s="34">
        <v>1186726</v>
      </c>
      <c r="F68" s="35">
        <f>C68*D68</f>
        <v>1112550</v>
      </c>
      <c r="G68" s="36">
        <v>0</v>
      </c>
      <c r="H68" s="35"/>
      <c r="I68" s="35"/>
      <c r="J68" s="36">
        <v>0</v>
      </c>
      <c r="K68" s="35"/>
      <c r="L68" s="35"/>
      <c r="M68" s="37">
        <f>F68/E68</f>
        <v>0.93749526006845729</v>
      </c>
      <c r="N68" s="13"/>
      <c r="O68" s="13"/>
      <c r="P68" s="13"/>
      <c r="Q68" s="13"/>
    </row>
    <row r="69" spans="1:17" ht="15" x14ac:dyDescent="0.2">
      <c r="A69" s="31" t="s">
        <v>58</v>
      </c>
      <c r="B69" s="33">
        <v>6</v>
      </c>
      <c r="C69" s="33">
        <v>6</v>
      </c>
      <c r="D69" s="34">
        <v>227296</v>
      </c>
      <c r="E69" s="34">
        <v>1363778</v>
      </c>
      <c r="F69" s="35">
        <f>C69*D69</f>
        <v>1363776</v>
      </c>
      <c r="G69" s="36">
        <v>0</v>
      </c>
      <c r="H69" s="35"/>
      <c r="I69" s="35"/>
      <c r="J69" s="36">
        <v>0</v>
      </c>
      <c r="K69" s="35"/>
      <c r="L69" s="35"/>
      <c r="M69" s="37">
        <f>F69/E69</f>
        <v>0.99999853348565526</v>
      </c>
      <c r="N69" s="13"/>
      <c r="O69" s="13"/>
      <c r="P69" s="13"/>
      <c r="Q69" s="13"/>
    </row>
    <row r="70" spans="1:17" x14ac:dyDescent="0.2">
      <c r="A70" s="38" t="s">
        <v>59</v>
      </c>
      <c r="B70" s="33"/>
      <c r="C70" s="33"/>
      <c r="D70" s="34"/>
      <c r="E70" s="39">
        <f>SUM(E68:E69)</f>
        <v>2550504</v>
      </c>
      <c r="F70" s="40">
        <f>SUM(F68:F69)</f>
        <v>2476326</v>
      </c>
      <c r="G70" s="40"/>
      <c r="H70" s="40"/>
      <c r="I70" s="40"/>
      <c r="J70" s="40"/>
      <c r="K70" s="40"/>
      <c r="L70" s="40">
        <f>SUM(L68:L69)</f>
        <v>0</v>
      </c>
      <c r="M70" s="41">
        <f>F70/E70</f>
        <v>0.97091633653583764</v>
      </c>
      <c r="N70" s="17"/>
      <c r="O70" s="17"/>
      <c r="P70" s="17"/>
      <c r="Q70" s="17"/>
    </row>
    <row r="71" spans="1:17" x14ac:dyDescent="0.2">
      <c r="A71" s="38" t="s">
        <v>60</v>
      </c>
      <c r="B71" s="33"/>
      <c r="C71" s="33"/>
      <c r="D71" s="34"/>
      <c r="E71" s="34"/>
      <c r="F71" s="31"/>
      <c r="G71" s="31"/>
      <c r="H71" s="33"/>
      <c r="I71" s="31"/>
      <c r="J71" s="31"/>
      <c r="K71" s="31"/>
      <c r="L71" s="31"/>
      <c r="M71" s="31"/>
      <c r="N71" s="18"/>
      <c r="O71" s="18"/>
      <c r="P71" s="18"/>
      <c r="Q71" s="18"/>
    </row>
    <row r="72" spans="1:17" ht="15" x14ac:dyDescent="0.2">
      <c r="A72" s="31" t="s">
        <v>166</v>
      </c>
      <c r="B72" s="33">
        <v>6</v>
      </c>
      <c r="C72" s="33">
        <v>6</v>
      </c>
      <c r="D72" s="34">
        <v>133656</v>
      </c>
      <c r="E72" s="34">
        <v>801937</v>
      </c>
      <c r="F72" s="35">
        <v>801937</v>
      </c>
      <c r="G72" s="36">
        <v>0</v>
      </c>
      <c r="H72" s="35">
        <v>6</v>
      </c>
      <c r="I72" s="35">
        <v>6</v>
      </c>
      <c r="J72" s="36">
        <v>0</v>
      </c>
      <c r="K72" s="35">
        <v>801937</v>
      </c>
      <c r="L72" s="35"/>
      <c r="M72" s="37">
        <f>F72/E72</f>
        <v>1</v>
      </c>
      <c r="N72" s="13"/>
      <c r="O72" s="13"/>
      <c r="P72" s="13"/>
      <c r="Q72" s="13"/>
    </row>
    <row r="73" spans="1:17" ht="15" x14ac:dyDescent="0.2">
      <c r="A73" s="139" t="s">
        <v>61</v>
      </c>
      <c r="B73" s="33">
        <v>2</v>
      </c>
      <c r="C73" s="33">
        <v>2</v>
      </c>
      <c r="D73" s="34">
        <v>466556</v>
      </c>
      <c r="E73" s="34">
        <v>933111</v>
      </c>
      <c r="F73" s="35">
        <v>933111</v>
      </c>
      <c r="G73" s="36">
        <v>0</v>
      </c>
      <c r="H73" s="35">
        <v>2</v>
      </c>
      <c r="I73" s="35">
        <v>2</v>
      </c>
      <c r="J73" s="36">
        <v>0</v>
      </c>
      <c r="K73" s="35">
        <v>933112</v>
      </c>
      <c r="L73" s="35"/>
      <c r="M73" s="37">
        <f>F73/E73</f>
        <v>1</v>
      </c>
      <c r="N73" s="13"/>
      <c r="O73" s="13"/>
      <c r="P73" s="13"/>
      <c r="Q73" s="13"/>
    </row>
    <row r="74" spans="1:17" x14ac:dyDescent="0.2">
      <c r="A74" s="243" t="s">
        <v>62</v>
      </c>
      <c r="B74" s="33"/>
      <c r="C74" s="33"/>
      <c r="D74" s="34"/>
      <c r="E74" s="39">
        <f>SUM(E72:E73)</f>
        <v>1735048</v>
      </c>
      <c r="F74" s="40">
        <f>SUM(F72:F73)</f>
        <v>1735048</v>
      </c>
      <c r="G74" s="40"/>
      <c r="H74" s="40"/>
      <c r="I74" s="40"/>
      <c r="J74" s="40"/>
      <c r="K74" s="40">
        <v>1735049</v>
      </c>
      <c r="L74" s="40">
        <f>SUM(L72:L73)</f>
        <v>0</v>
      </c>
      <c r="M74" s="41">
        <f>F74/E74</f>
        <v>1</v>
      </c>
      <c r="N74" s="17"/>
      <c r="O74" s="17"/>
      <c r="P74" s="17"/>
      <c r="Q74" s="17"/>
    </row>
    <row r="75" spans="1:17" x14ac:dyDescent="0.2">
      <c r="A75" s="243" t="s">
        <v>63</v>
      </c>
      <c r="B75" s="33"/>
      <c r="C75" s="33"/>
      <c r="D75" s="34"/>
      <c r="E75" s="34"/>
      <c r="F75" s="31"/>
      <c r="G75" s="31"/>
      <c r="H75" s="33"/>
      <c r="I75" s="31"/>
      <c r="J75" s="31"/>
      <c r="K75" s="31"/>
      <c r="L75" s="31"/>
      <c r="M75" s="31"/>
      <c r="N75" s="18"/>
      <c r="O75" s="18"/>
      <c r="P75" s="18"/>
      <c r="Q75" s="18"/>
    </row>
    <row r="76" spans="1:17" ht="15" x14ac:dyDescent="0.2">
      <c r="A76" s="139" t="s">
        <v>95</v>
      </c>
      <c r="B76" s="33">
        <v>3</v>
      </c>
      <c r="C76" s="33">
        <v>3</v>
      </c>
      <c r="D76" s="34">
        <v>171070</v>
      </c>
      <c r="E76" s="34">
        <v>513211</v>
      </c>
      <c r="F76" s="35">
        <v>513211</v>
      </c>
      <c r="G76" s="36">
        <v>0</v>
      </c>
      <c r="H76" s="35"/>
      <c r="I76" s="35"/>
      <c r="J76" s="36">
        <v>0</v>
      </c>
      <c r="K76" s="35">
        <v>513210</v>
      </c>
      <c r="L76" s="35"/>
      <c r="M76" s="37">
        <f t="shared" ref="M76:M81" si="8">F76/E76</f>
        <v>1</v>
      </c>
      <c r="N76" s="13"/>
      <c r="O76" s="13"/>
      <c r="P76" s="13"/>
      <c r="Q76" s="13"/>
    </row>
    <row r="77" spans="1:17" ht="15" x14ac:dyDescent="0.2">
      <c r="A77" s="139" t="s">
        <v>154</v>
      </c>
      <c r="B77" s="33">
        <v>1</v>
      </c>
      <c r="C77" s="33">
        <v>1</v>
      </c>
      <c r="D77" s="34">
        <v>215333</v>
      </c>
      <c r="E77" s="34">
        <f>B77*D77</f>
        <v>215333</v>
      </c>
      <c r="F77" s="35">
        <f>C77*D77</f>
        <v>215333</v>
      </c>
      <c r="G77" s="36">
        <v>0</v>
      </c>
      <c r="H77" s="35"/>
      <c r="I77" s="35"/>
      <c r="J77" s="36">
        <v>0</v>
      </c>
      <c r="K77" s="35"/>
      <c r="L77" s="35"/>
      <c r="M77" s="37">
        <f t="shared" si="8"/>
        <v>1</v>
      </c>
      <c r="N77" s="13"/>
      <c r="O77" s="13"/>
      <c r="P77" s="13"/>
      <c r="Q77" s="13"/>
    </row>
    <row r="78" spans="1:17" ht="15" x14ac:dyDescent="0.2">
      <c r="A78" s="139" t="s">
        <v>64</v>
      </c>
      <c r="B78" s="33">
        <v>40</v>
      </c>
      <c r="C78" s="33">
        <v>40</v>
      </c>
      <c r="D78" s="34">
        <v>35291</v>
      </c>
      <c r="E78" s="34">
        <v>1411630</v>
      </c>
      <c r="F78" s="35">
        <f>C78*D78</f>
        <v>1411640</v>
      </c>
      <c r="G78" s="36">
        <v>0</v>
      </c>
      <c r="H78" s="35"/>
      <c r="I78" s="35"/>
      <c r="J78" s="36">
        <v>0</v>
      </c>
      <c r="K78" s="35"/>
      <c r="L78" s="35"/>
      <c r="M78" s="37">
        <f t="shared" si="8"/>
        <v>1.0000070840092659</v>
      </c>
      <c r="N78" s="13"/>
      <c r="O78" s="13"/>
      <c r="P78" s="13"/>
      <c r="Q78" s="13"/>
    </row>
    <row r="79" spans="1:17" ht="15" x14ac:dyDescent="0.2">
      <c r="A79" s="130" t="s">
        <v>96</v>
      </c>
      <c r="B79" s="33">
        <v>50</v>
      </c>
      <c r="C79" s="129">
        <v>50</v>
      </c>
      <c r="D79" s="34">
        <v>23926</v>
      </c>
      <c r="E79" s="34">
        <v>1196296</v>
      </c>
      <c r="F79" s="35">
        <f>C79*D79</f>
        <v>1196300</v>
      </c>
      <c r="G79" s="36">
        <v>0</v>
      </c>
      <c r="H79" s="35"/>
      <c r="I79" s="35"/>
      <c r="J79" s="36">
        <v>0</v>
      </c>
      <c r="K79" s="35"/>
      <c r="L79" s="35"/>
      <c r="M79" s="37">
        <f t="shared" si="8"/>
        <v>1.0000033436540789</v>
      </c>
      <c r="N79" s="13"/>
      <c r="O79" s="13"/>
      <c r="P79" s="13"/>
      <c r="Q79" s="13"/>
    </row>
    <row r="80" spans="1:17" ht="15" x14ac:dyDescent="0.2">
      <c r="A80" s="139" t="s">
        <v>65</v>
      </c>
      <c r="B80" s="33">
        <v>18</v>
      </c>
      <c r="C80" s="33">
        <v>18</v>
      </c>
      <c r="D80" s="34">
        <v>118433</v>
      </c>
      <c r="E80" s="34">
        <v>2131800</v>
      </c>
      <c r="F80" s="35">
        <f>C80*D80</f>
        <v>2131794</v>
      </c>
      <c r="G80" s="36">
        <v>0</v>
      </c>
      <c r="H80" s="35"/>
      <c r="I80" s="35"/>
      <c r="J80" s="36">
        <v>0</v>
      </c>
      <c r="K80" s="35"/>
      <c r="L80" s="35"/>
      <c r="M80" s="37">
        <f t="shared" si="8"/>
        <v>0.99999718547706162</v>
      </c>
      <c r="N80" s="13"/>
      <c r="O80" s="13"/>
      <c r="P80" s="13"/>
      <c r="Q80" s="13"/>
    </row>
    <row r="81" spans="1:17" x14ac:dyDescent="0.2">
      <c r="A81" s="243" t="s">
        <v>66</v>
      </c>
      <c r="B81" s="33"/>
      <c r="C81" s="33"/>
      <c r="D81" s="34"/>
      <c r="E81" s="39">
        <f>SUM(E76:E80)</f>
        <v>5468270</v>
      </c>
      <c r="F81" s="40">
        <f>SUM(F76:F80)</f>
        <v>5468278</v>
      </c>
      <c r="G81" s="40"/>
      <c r="H81" s="40"/>
      <c r="I81" s="40"/>
      <c r="J81" s="40"/>
      <c r="K81" s="40">
        <v>513210</v>
      </c>
      <c r="L81" s="40">
        <f>SUM(L76:L80)</f>
        <v>0</v>
      </c>
      <c r="M81" s="41">
        <f t="shared" si="8"/>
        <v>1.0000014629855511</v>
      </c>
      <c r="N81" s="17"/>
      <c r="O81" s="17"/>
      <c r="P81" s="17"/>
      <c r="Q81" s="17"/>
    </row>
    <row r="82" spans="1:17" x14ac:dyDescent="0.2">
      <c r="A82" s="363" t="s">
        <v>67</v>
      </c>
      <c r="B82" s="363"/>
      <c r="C82" s="363"/>
      <c r="D82" s="363"/>
      <c r="E82" s="39">
        <v>21508382</v>
      </c>
      <c r="F82" s="47">
        <f>F59+F66+F70+F74+F81</f>
        <v>21314574</v>
      </c>
      <c r="G82" s="31"/>
      <c r="H82" s="33"/>
      <c r="I82" s="31"/>
      <c r="J82" s="31"/>
      <c r="K82" s="31"/>
      <c r="L82" s="31"/>
      <c r="M82" s="31"/>
      <c r="N82" s="18"/>
      <c r="O82" s="18"/>
      <c r="P82" s="18"/>
      <c r="Q82" s="18"/>
    </row>
    <row r="83" spans="1:17" x14ac:dyDescent="0.2">
      <c r="A83" s="31"/>
      <c r="B83" s="33"/>
      <c r="C83" s="33"/>
      <c r="D83" s="34"/>
      <c r="E83" s="34"/>
      <c r="F83" s="31"/>
      <c r="G83" s="31"/>
      <c r="H83" s="33"/>
      <c r="I83" s="31"/>
      <c r="J83" s="31"/>
      <c r="K83" s="31"/>
      <c r="L83" s="31"/>
      <c r="M83" s="31"/>
      <c r="N83" s="18"/>
      <c r="O83" s="18"/>
      <c r="P83" s="18"/>
      <c r="Q83" s="18"/>
    </row>
    <row r="84" spans="1:17" x14ac:dyDescent="0.2">
      <c r="A84" s="366" t="s">
        <v>68</v>
      </c>
      <c r="B84" s="366"/>
      <c r="C84" s="366"/>
      <c r="D84" s="366"/>
      <c r="E84" s="34"/>
      <c r="F84" s="31"/>
      <c r="G84" s="31"/>
      <c r="H84" s="33"/>
      <c r="I84" s="31"/>
      <c r="J84" s="31"/>
      <c r="K84" s="31"/>
      <c r="L84" s="31"/>
      <c r="M84" s="31"/>
      <c r="N84" s="18"/>
      <c r="O84" s="18"/>
      <c r="P84" s="18"/>
      <c r="Q84" s="18"/>
    </row>
    <row r="85" spans="1:17" ht="15" x14ac:dyDescent="0.2">
      <c r="A85" s="31" t="s">
        <v>69</v>
      </c>
      <c r="B85" s="33">
        <v>12</v>
      </c>
      <c r="C85" s="33">
        <v>12</v>
      </c>
      <c r="D85" s="34">
        <v>95704</v>
      </c>
      <c r="E85" s="34">
        <v>1148444</v>
      </c>
      <c r="F85" s="35">
        <v>1148444</v>
      </c>
      <c r="G85" s="36">
        <v>0</v>
      </c>
      <c r="H85" s="35">
        <v>12</v>
      </c>
      <c r="I85" s="35">
        <v>12</v>
      </c>
      <c r="J85" s="36">
        <v>0</v>
      </c>
      <c r="K85" s="35">
        <v>1148448</v>
      </c>
      <c r="L85" s="35"/>
      <c r="M85" s="37">
        <f>F85/E85</f>
        <v>1</v>
      </c>
      <c r="N85" s="13"/>
      <c r="O85" s="13"/>
      <c r="P85" s="13"/>
      <c r="Q85" s="13"/>
    </row>
    <row r="86" spans="1:17" ht="15" x14ac:dyDescent="0.2">
      <c r="A86" s="31" t="s">
        <v>181</v>
      </c>
      <c r="B86" s="33">
        <v>36</v>
      </c>
      <c r="C86" s="33">
        <v>36</v>
      </c>
      <c r="D86" s="34">
        <v>47852</v>
      </c>
      <c r="E86" s="34">
        <v>1722667</v>
      </c>
      <c r="F86" s="35">
        <v>1722667</v>
      </c>
      <c r="G86" s="36">
        <v>0</v>
      </c>
      <c r="H86" s="35">
        <v>36</v>
      </c>
      <c r="I86" s="35">
        <v>36</v>
      </c>
      <c r="J86" s="36">
        <v>0</v>
      </c>
      <c r="K86" s="35">
        <v>1722672</v>
      </c>
      <c r="L86" s="35"/>
      <c r="M86" s="37">
        <f>F86/E86</f>
        <v>1</v>
      </c>
      <c r="N86" s="13"/>
      <c r="O86" s="13"/>
      <c r="P86" s="13"/>
      <c r="Q86" s="13"/>
    </row>
    <row r="87" spans="1:17" ht="15" x14ac:dyDescent="0.2">
      <c r="A87" s="363" t="s">
        <v>70</v>
      </c>
      <c r="B87" s="363"/>
      <c r="C87" s="363"/>
      <c r="D87" s="363"/>
      <c r="E87" s="39">
        <f>SUM(E85:E86)</f>
        <v>2871111</v>
      </c>
      <c r="F87" s="35">
        <v>2871111</v>
      </c>
      <c r="G87" s="36"/>
      <c r="H87" s="35"/>
      <c r="I87" s="35"/>
      <c r="J87" s="36"/>
      <c r="K87" s="35">
        <v>2871111</v>
      </c>
      <c r="L87" s="35">
        <f>SUM(L85:L86)</f>
        <v>0</v>
      </c>
      <c r="M87" s="37">
        <f>F87/E87</f>
        <v>1</v>
      </c>
      <c r="N87" s="13"/>
      <c r="O87" s="13"/>
      <c r="P87" s="13"/>
      <c r="Q87" s="13"/>
    </row>
    <row r="88" spans="1:17" ht="15" x14ac:dyDescent="0.2">
      <c r="A88" s="38" t="s">
        <v>99</v>
      </c>
      <c r="B88" s="33"/>
      <c r="C88" s="33"/>
      <c r="D88" s="34"/>
      <c r="E88" s="39">
        <f>E30+E44+E51+E82+E87</f>
        <v>161577084</v>
      </c>
      <c r="F88" s="119">
        <f>F30+F44+F51+F82+F87</f>
        <v>159186868</v>
      </c>
      <c r="G88" s="36"/>
      <c r="H88" s="48"/>
      <c r="I88" s="47"/>
      <c r="J88" s="36"/>
      <c r="K88" s="108">
        <v>36523096</v>
      </c>
      <c r="L88" s="110">
        <v>63194096</v>
      </c>
      <c r="M88" s="41">
        <f>F88/E88</f>
        <v>0.98520696165057664</v>
      </c>
      <c r="N88" s="14"/>
      <c r="O88" s="126">
        <f>E79+E68+E55+E27+E26+E19+E17+E15</f>
        <v>8493106</v>
      </c>
      <c r="P88" s="14"/>
      <c r="Q88" s="14"/>
    </row>
    <row r="89" spans="1:17" ht="15" x14ac:dyDescent="0.2">
      <c r="A89" s="31" t="s">
        <v>159</v>
      </c>
      <c r="B89" s="33"/>
      <c r="C89" s="33"/>
      <c r="D89" s="34"/>
      <c r="E89" s="34">
        <v>56551979</v>
      </c>
      <c r="F89" s="49">
        <f>(F88*35)/100</f>
        <v>55715403.799999997</v>
      </c>
      <c r="G89" s="36"/>
      <c r="H89" s="49"/>
      <c r="I89" s="49"/>
      <c r="J89" s="36"/>
      <c r="K89" s="49">
        <v>17413858.350000001</v>
      </c>
      <c r="L89" s="49">
        <f>L88*35/100</f>
        <v>22117933.600000001</v>
      </c>
      <c r="M89" s="50">
        <f>F89/E89</f>
        <v>0.98520696861908219</v>
      </c>
      <c r="N89" s="14"/>
      <c r="O89" s="14"/>
      <c r="P89" s="14"/>
      <c r="Q89" s="14"/>
    </row>
    <row r="90" spans="1:17" ht="15" x14ac:dyDescent="0.2">
      <c r="A90" s="38" t="s">
        <v>98</v>
      </c>
      <c r="B90" s="33"/>
      <c r="C90" s="33"/>
      <c r="D90" s="34"/>
      <c r="E90" s="34"/>
      <c r="F90" s="31"/>
      <c r="G90" s="31"/>
      <c r="H90" s="33"/>
      <c r="I90" s="31"/>
      <c r="J90" s="31"/>
      <c r="K90" s="31"/>
      <c r="L90" s="31"/>
      <c r="M90" s="37"/>
      <c r="N90" s="13"/>
      <c r="O90" s="126">
        <f>E88-F88</f>
        <v>2390216</v>
      </c>
      <c r="P90" s="13"/>
      <c r="Q90" s="13"/>
    </row>
    <row r="91" spans="1:17" ht="42.75" x14ac:dyDescent="0.2">
      <c r="A91" s="32" t="s">
        <v>71</v>
      </c>
      <c r="B91" s="33">
        <v>1</v>
      </c>
      <c r="C91" s="33">
        <v>1</v>
      </c>
      <c r="D91" s="34">
        <v>2924789</v>
      </c>
      <c r="E91" s="34">
        <f>B91*D91</f>
        <v>2924789</v>
      </c>
      <c r="F91" s="47">
        <f>E91*C91</f>
        <v>2924789</v>
      </c>
      <c r="G91" s="33">
        <v>0</v>
      </c>
      <c r="H91" s="33"/>
      <c r="I91" s="31"/>
      <c r="J91" s="33">
        <v>0</v>
      </c>
      <c r="K91" s="113">
        <v>2924789</v>
      </c>
      <c r="L91" s="113">
        <v>2924789</v>
      </c>
      <c r="M91" s="37">
        <f t="shared" ref="M91:M96" si="9">F91/E91</f>
        <v>1</v>
      </c>
      <c r="N91" s="13"/>
      <c r="O91" s="13"/>
      <c r="P91" s="13"/>
      <c r="Q91" s="13"/>
    </row>
    <row r="92" spans="1:17" ht="57" x14ac:dyDescent="0.2">
      <c r="A92" s="32" t="s">
        <v>72</v>
      </c>
      <c r="B92" s="33">
        <v>1</v>
      </c>
      <c r="C92" s="33">
        <v>1</v>
      </c>
      <c r="D92" s="34">
        <v>3788875</v>
      </c>
      <c r="E92" s="34">
        <f>B92*D92</f>
        <v>3788875</v>
      </c>
      <c r="F92" s="47">
        <f>D92*C92</f>
        <v>3788875</v>
      </c>
      <c r="G92" s="33">
        <v>0</v>
      </c>
      <c r="H92" s="33"/>
      <c r="I92" s="31"/>
      <c r="J92" s="33">
        <v>0</v>
      </c>
      <c r="K92" s="113">
        <v>3788875</v>
      </c>
      <c r="L92" s="113">
        <v>3788875</v>
      </c>
      <c r="M92" s="37">
        <f t="shared" si="9"/>
        <v>1</v>
      </c>
      <c r="N92" s="13"/>
      <c r="O92" s="13"/>
      <c r="P92" s="13"/>
      <c r="Q92" s="13"/>
    </row>
    <row r="93" spans="1:17" ht="28.5" x14ac:dyDescent="0.2">
      <c r="A93" s="32" t="s">
        <v>170</v>
      </c>
      <c r="B93" s="33">
        <v>1</v>
      </c>
      <c r="C93" s="129">
        <v>1</v>
      </c>
      <c r="D93" s="34">
        <v>31423246</v>
      </c>
      <c r="E93" s="34">
        <f>B93*D93</f>
        <v>31423246</v>
      </c>
      <c r="F93" s="111">
        <f>C93*E93</f>
        <v>31423246</v>
      </c>
      <c r="G93" s="33">
        <v>0</v>
      </c>
      <c r="H93" s="33"/>
      <c r="I93" s="31"/>
      <c r="J93" s="33">
        <v>0</v>
      </c>
      <c r="K93" s="31"/>
      <c r="L93" s="112">
        <v>6284649</v>
      </c>
      <c r="M93" s="37">
        <f t="shared" si="9"/>
        <v>1</v>
      </c>
      <c r="N93" s="13"/>
      <c r="O93" s="13"/>
      <c r="P93" s="13"/>
      <c r="Q93" s="13"/>
    </row>
    <row r="94" spans="1:17" ht="30" customHeight="1" x14ac:dyDescent="0.2">
      <c r="A94" s="32" t="s">
        <v>74</v>
      </c>
      <c r="B94" s="33">
        <v>1</v>
      </c>
      <c r="C94" s="129">
        <v>1</v>
      </c>
      <c r="D94" s="34">
        <v>9326567</v>
      </c>
      <c r="E94" s="34">
        <f>B94*D94</f>
        <v>9326567</v>
      </c>
      <c r="F94" s="111">
        <f>C94*E94</f>
        <v>9326567</v>
      </c>
      <c r="G94" s="33">
        <v>0</v>
      </c>
      <c r="H94" s="33"/>
      <c r="I94" s="31"/>
      <c r="J94" s="33">
        <v>0</v>
      </c>
      <c r="K94" s="31"/>
      <c r="L94" s="31"/>
      <c r="M94" s="37">
        <f t="shared" si="9"/>
        <v>1</v>
      </c>
      <c r="N94" s="13"/>
      <c r="O94" s="13"/>
      <c r="P94" s="13"/>
      <c r="Q94" s="13"/>
    </row>
    <row r="95" spans="1:17" ht="28.5" x14ac:dyDescent="0.2">
      <c r="A95" s="140" t="s">
        <v>168</v>
      </c>
      <c r="B95" s="33">
        <v>1</v>
      </c>
      <c r="C95" s="129">
        <v>1</v>
      </c>
      <c r="D95" s="34">
        <v>9750000</v>
      </c>
      <c r="E95" s="34">
        <f>B95*D95</f>
        <v>9750000</v>
      </c>
      <c r="F95" s="111">
        <f>C95*E95</f>
        <v>9750000</v>
      </c>
      <c r="G95" s="33">
        <v>0</v>
      </c>
      <c r="H95" s="52" t="s">
        <v>100</v>
      </c>
      <c r="I95" s="51" t="s">
        <v>100</v>
      </c>
      <c r="J95" s="33">
        <v>0</v>
      </c>
      <c r="K95" s="51">
        <f>E95*C95</f>
        <v>9750000</v>
      </c>
      <c r="L95" s="51">
        <f>9750000*0.46</f>
        <v>4485000</v>
      </c>
      <c r="M95" s="106">
        <f t="shared" si="9"/>
        <v>1</v>
      </c>
      <c r="N95" s="14"/>
      <c r="O95" s="14"/>
      <c r="P95" s="14"/>
      <c r="Q95" s="14"/>
    </row>
    <row r="96" spans="1:17" x14ac:dyDescent="0.2">
      <c r="A96" s="363" t="s">
        <v>109</v>
      </c>
      <c r="B96" s="363"/>
      <c r="C96" s="363"/>
      <c r="D96" s="363"/>
      <c r="E96" s="39">
        <f>SUM(E91:E95)</f>
        <v>57213477</v>
      </c>
      <c r="F96" s="51">
        <f>F91+F92+F93+F94+F95</f>
        <v>57213477</v>
      </c>
      <c r="G96" s="51"/>
      <c r="H96" s="52"/>
      <c r="I96" s="51"/>
      <c r="J96" s="51"/>
      <c r="K96" s="51">
        <v>18685813.199999999</v>
      </c>
      <c r="L96" s="51">
        <f>L91+L92+L93+L94+L95</f>
        <v>17483313</v>
      </c>
      <c r="M96" s="50">
        <f t="shared" si="9"/>
        <v>1</v>
      </c>
      <c r="N96" s="15"/>
      <c r="O96" s="213">
        <f>E96-F96</f>
        <v>0</v>
      </c>
      <c r="P96" s="15"/>
      <c r="Q96" s="15"/>
    </row>
    <row r="97" spans="1:17" x14ac:dyDescent="0.2">
      <c r="A97" s="363" t="s">
        <v>108</v>
      </c>
      <c r="B97" s="363"/>
      <c r="C97" s="363"/>
      <c r="D97" s="363"/>
      <c r="E97" s="39">
        <f>E96*0.1925</f>
        <v>11013594.3225</v>
      </c>
      <c r="F97" s="107">
        <f>PRODUCT(F96,19.25%)</f>
        <v>11013594.3225</v>
      </c>
      <c r="G97" s="53"/>
      <c r="H97" s="54"/>
      <c r="I97" s="53"/>
      <c r="J97" s="53"/>
      <c r="K97" s="53"/>
      <c r="L97" s="53"/>
      <c r="M97" s="55"/>
      <c r="N97" s="15"/>
      <c r="O97" s="15"/>
      <c r="P97" s="15"/>
      <c r="Q97" s="15"/>
    </row>
    <row r="98" spans="1:17" ht="19.5" customHeight="1" x14ac:dyDescent="0.2">
      <c r="A98" s="365" t="s">
        <v>106</v>
      </c>
      <c r="B98" s="365"/>
      <c r="C98" s="365"/>
      <c r="D98" s="365"/>
      <c r="E98" s="56">
        <f>E88+E96+E89</f>
        <v>275342540</v>
      </c>
      <c r="F98" s="56">
        <f>F88+F96+F89</f>
        <v>272115748.80000001</v>
      </c>
      <c r="G98" s="56"/>
      <c r="H98" s="57"/>
      <c r="I98" s="56"/>
      <c r="J98" s="56"/>
      <c r="K98" s="56">
        <v>72622767.549999997</v>
      </c>
      <c r="L98" s="56">
        <f>L88+L89+L96</f>
        <v>102795342.59999999</v>
      </c>
      <c r="M98" s="132">
        <f>F98/E98</f>
        <v>0.98828081123970168</v>
      </c>
      <c r="N98" s="19"/>
      <c r="O98" s="19"/>
      <c r="P98" s="19"/>
      <c r="Q98" s="19"/>
    </row>
    <row r="100" spans="1:17" x14ac:dyDescent="0.2">
      <c r="B100" s="16"/>
      <c r="C100" s="16"/>
      <c r="D100" s="16"/>
      <c r="E100" s="16"/>
      <c r="H100" s="16"/>
    </row>
    <row r="101" spans="1:17" x14ac:dyDescent="0.2">
      <c r="B101" s="16"/>
      <c r="C101" s="16"/>
      <c r="D101" s="16"/>
      <c r="E101" s="121"/>
      <c r="F101" s="127">
        <f>E98-F98</f>
        <v>3226791.1999999881</v>
      </c>
      <c r="H101" s="16"/>
    </row>
    <row r="102" spans="1:17" x14ac:dyDescent="0.2">
      <c r="B102" s="16"/>
      <c r="C102" s="16"/>
      <c r="D102" s="16"/>
      <c r="E102" s="16"/>
      <c r="H102" s="16"/>
    </row>
    <row r="103" spans="1:17" x14ac:dyDescent="0.2">
      <c r="B103" s="16"/>
      <c r="C103" s="16"/>
      <c r="D103" s="16"/>
      <c r="E103" s="16"/>
      <c r="H103" s="16"/>
    </row>
    <row r="104" spans="1:17" x14ac:dyDescent="0.2">
      <c r="B104" s="16"/>
      <c r="C104" s="16"/>
      <c r="D104" s="16"/>
      <c r="E104" s="121"/>
      <c r="H104" s="16"/>
    </row>
    <row r="109" spans="1:17" x14ac:dyDescent="0.2">
      <c r="F109" s="232">
        <f>23838148+46174864+67210360+46282185</f>
        <v>183505557</v>
      </c>
    </row>
    <row r="113" spans="6:6" x14ac:dyDescent="0.2">
      <c r="F113" s="121"/>
    </row>
  </sheetData>
  <mergeCells count="29">
    <mergeCell ref="A97:D97"/>
    <mergeCell ref="A98:D98"/>
    <mergeCell ref="A59:D59"/>
    <mergeCell ref="A66:D66"/>
    <mergeCell ref="A82:D82"/>
    <mergeCell ref="A84:D84"/>
    <mergeCell ref="A87:D87"/>
    <mergeCell ref="A96:D96"/>
    <mergeCell ref="A51:D51"/>
    <mergeCell ref="J3:L3"/>
    <mergeCell ref="M3:M4"/>
    <mergeCell ref="A6:F6"/>
    <mergeCell ref="A20:D20"/>
    <mergeCell ref="A21:F21"/>
    <mergeCell ref="A24:D24"/>
    <mergeCell ref="A25:F25"/>
    <mergeCell ref="A30:D30"/>
    <mergeCell ref="A32:F32"/>
    <mergeCell ref="A44:D44"/>
    <mergeCell ref="A46:F46"/>
    <mergeCell ref="A2:G2"/>
    <mergeCell ref="H2:I2"/>
    <mergeCell ref="A3:A4"/>
    <mergeCell ref="B3:B4"/>
    <mergeCell ref="C3:C4"/>
    <mergeCell ref="D3:D4"/>
    <mergeCell ref="E3:E4"/>
    <mergeCell ref="F3:F4"/>
    <mergeCell ref="G3:I3"/>
  </mergeCells>
  <printOptions horizontalCentered="1"/>
  <pageMargins left="0.70866141732283472" right="0.70866141732283472" top="0.35433070866141736" bottom="0.39370078740157483" header="0.31496062992125984" footer="0.31496062992125984"/>
  <pageSetup paperSize="9" scale="80" fitToWidth="100" fitToHeight="10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5"/>
  <sheetViews>
    <sheetView zoomScale="89" zoomScaleNormal="89" workbookViewId="0">
      <pane ySplit="3" topLeftCell="A90" activePane="bottomLeft" state="frozen"/>
      <selection pane="bottomLeft" activeCell="L92" sqref="L92"/>
    </sheetView>
  </sheetViews>
  <sheetFormatPr baseColWidth="10" defaultRowHeight="14.25" x14ac:dyDescent="0.2"/>
  <cols>
    <col min="1" max="1" width="6.28515625" style="245" customWidth="1"/>
    <col min="2" max="2" width="40.140625" style="7" customWidth="1"/>
    <col min="3" max="3" width="10" style="245" customWidth="1"/>
    <col min="4" max="4" width="16.5703125" style="101" customWidth="1"/>
    <col min="5" max="5" width="19.5703125" style="101" customWidth="1"/>
    <col min="6" max="6" width="14.85546875" style="7" hidden="1" customWidth="1"/>
    <col min="7" max="7" width="16.42578125" style="7" customWidth="1"/>
    <col min="8" max="8" width="16.85546875" style="245" customWidth="1"/>
    <col min="9" max="9" width="15.5703125" style="245" customWidth="1"/>
    <col min="10" max="10" width="15.42578125" style="245" customWidth="1"/>
    <col min="11" max="11" width="16.140625" style="245" customWidth="1"/>
    <col min="12" max="12" width="21.85546875" style="7" customWidth="1"/>
    <col min="13" max="13" width="21.85546875" style="230" customWidth="1"/>
    <col min="14" max="14" width="23.140625" style="7" customWidth="1"/>
    <col min="15" max="18" width="12.5703125" style="7" customWidth="1"/>
    <col min="19" max="19" width="4" style="7" customWidth="1"/>
    <col min="20" max="24" width="11.42578125" style="7"/>
    <col min="25" max="25" width="11" style="7" customWidth="1"/>
    <col min="26" max="16384" width="11.42578125" style="7"/>
  </cols>
  <sheetData>
    <row r="2" spans="1:20" ht="16.5" customHeight="1" x14ac:dyDescent="0.25">
      <c r="A2" s="134"/>
      <c r="B2" s="334" t="s">
        <v>149</v>
      </c>
      <c r="C2" s="335"/>
      <c r="D2" s="335"/>
      <c r="E2" s="335"/>
      <c r="F2" s="336"/>
      <c r="G2" s="141">
        <v>42325</v>
      </c>
      <c r="H2" s="337"/>
      <c r="I2" s="338"/>
      <c r="J2" s="338"/>
      <c r="K2" s="338"/>
      <c r="L2" s="338"/>
      <c r="M2" s="214"/>
      <c r="N2" s="138"/>
    </row>
    <row r="3" spans="1:20" s="8" customFormat="1" ht="75.75" customHeight="1" x14ac:dyDescent="0.25">
      <c r="A3" s="135" t="s">
        <v>110</v>
      </c>
      <c r="B3" s="135" t="s">
        <v>111</v>
      </c>
      <c r="C3" s="136" t="s">
        <v>112</v>
      </c>
      <c r="D3" s="137" t="s">
        <v>163</v>
      </c>
      <c r="E3" s="137" t="s">
        <v>147</v>
      </c>
      <c r="F3" s="135" t="s">
        <v>157</v>
      </c>
      <c r="G3" s="135" t="s">
        <v>191</v>
      </c>
      <c r="H3" s="135" t="s">
        <v>192</v>
      </c>
      <c r="I3" s="135" t="s">
        <v>193</v>
      </c>
      <c r="J3" s="135" t="s">
        <v>194</v>
      </c>
      <c r="K3" s="135" t="s">
        <v>195</v>
      </c>
      <c r="L3" s="135" t="s">
        <v>196</v>
      </c>
      <c r="M3" s="215" t="s">
        <v>197</v>
      </c>
      <c r="N3" s="135" t="s">
        <v>150</v>
      </c>
      <c r="O3" s="6"/>
      <c r="P3" s="6"/>
      <c r="Q3" s="6"/>
      <c r="R3" s="6"/>
    </row>
    <row r="4" spans="1:20" ht="15.75" customHeight="1" x14ac:dyDescent="0.3">
      <c r="A4" s="149">
        <v>1</v>
      </c>
      <c r="B4" s="142" t="s">
        <v>115</v>
      </c>
      <c r="C4" s="150"/>
      <c r="D4" s="151"/>
      <c r="E4" s="151"/>
      <c r="F4" s="150"/>
      <c r="G4" s="150"/>
      <c r="H4" s="152"/>
      <c r="I4" s="152"/>
      <c r="J4" s="152"/>
      <c r="K4" s="152"/>
      <c r="L4" s="150"/>
      <c r="M4" s="216"/>
      <c r="N4" s="150"/>
      <c r="O4" s="9"/>
      <c r="P4" s="9"/>
      <c r="Q4" s="9"/>
      <c r="R4" s="9"/>
    </row>
    <row r="5" spans="1:20" ht="16.5" x14ac:dyDescent="0.25">
      <c r="A5" s="349" t="s">
        <v>116</v>
      </c>
      <c r="B5" s="143" t="s">
        <v>114</v>
      </c>
      <c r="C5" s="143"/>
      <c r="D5" s="153"/>
      <c r="E5" s="153"/>
      <c r="F5" s="154"/>
      <c r="G5" s="154"/>
      <c r="H5" s="155"/>
      <c r="I5" s="155"/>
      <c r="J5" s="155"/>
      <c r="K5" s="155"/>
      <c r="L5" s="155"/>
      <c r="M5" s="217"/>
      <c r="N5" s="155"/>
      <c r="O5" s="10"/>
      <c r="P5" s="10"/>
      <c r="Q5" s="10"/>
      <c r="R5" s="10"/>
    </row>
    <row r="6" spans="1:20" ht="16.5" x14ac:dyDescent="0.25">
      <c r="A6" s="349"/>
      <c r="B6" s="144" t="s">
        <v>160</v>
      </c>
      <c r="C6" s="149">
        <v>3</v>
      </c>
      <c r="D6" s="156">
        <v>4426296</v>
      </c>
      <c r="E6" s="156">
        <f>C6*D6</f>
        <v>13278888</v>
      </c>
      <c r="F6" s="157">
        <v>0</v>
      </c>
      <c r="G6" s="157">
        <v>0</v>
      </c>
      <c r="H6" s="158">
        <v>0</v>
      </c>
      <c r="I6" s="158">
        <v>0.99999992469249499</v>
      </c>
      <c r="J6" s="158">
        <v>0.99999992469249499</v>
      </c>
      <c r="K6" s="158">
        <v>0.99999992469249499</v>
      </c>
      <c r="L6" s="158">
        <v>1</v>
      </c>
      <c r="M6" s="218"/>
      <c r="N6" s="159"/>
      <c r="O6" s="11"/>
      <c r="P6" s="11"/>
      <c r="Q6" s="11"/>
      <c r="R6" s="11"/>
    </row>
    <row r="7" spans="1:20" ht="19.5" customHeight="1" x14ac:dyDescent="0.25">
      <c r="A7" s="349"/>
      <c r="B7" s="145" t="s">
        <v>161</v>
      </c>
      <c r="C7" s="160">
        <v>3</v>
      </c>
      <c r="D7" s="161">
        <v>5305574</v>
      </c>
      <c r="E7" s="161">
        <f>C7*D7</f>
        <v>15916722</v>
      </c>
      <c r="F7" s="162">
        <v>0</v>
      </c>
      <c r="G7" s="162">
        <v>0</v>
      </c>
      <c r="H7" s="163">
        <v>0</v>
      </c>
      <c r="I7" s="163">
        <v>0</v>
      </c>
      <c r="J7" s="163">
        <v>1</v>
      </c>
      <c r="K7" s="158">
        <v>1</v>
      </c>
      <c r="L7" s="158">
        <v>1</v>
      </c>
      <c r="M7" s="218"/>
      <c r="N7" s="159"/>
      <c r="O7" s="13"/>
      <c r="P7" s="13"/>
      <c r="Q7" s="13"/>
      <c r="R7" s="13"/>
      <c r="S7" s="16"/>
      <c r="T7" s="16"/>
    </row>
    <row r="8" spans="1:20" ht="15" customHeight="1" x14ac:dyDescent="0.25">
      <c r="A8" s="349"/>
      <c r="B8" s="145" t="s">
        <v>162</v>
      </c>
      <c r="C8" s="160">
        <v>3</v>
      </c>
      <c r="D8" s="161">
        <v>7500778</v>
      </c>
      <c r="E8" s="161">
        <f>C8*D8</f>
        <v>22502334</v>
      </c>
      <c r="F8" s="162">
        <v>0</v>
      </c>
      <c r="G8" s="162">
        <v>0</v>
      </c>
      <c r="H8" s="163">
        <v>0</v>
      </c>
      <c r="I8" s="163">
        <v>1.0000000444398365</v>
      </c>
      <c r="J8" s="163">
        <v>1.0000000444398365</v>
      </c>
      <c r="K8" s="158">
        <v>1.0000000444398365</v>
      </c>
      <c r="L8" s="158">
        <v>1</v>
      </c>
      <c r="M8" s="218"/>
      <c r="N8" s="159"/>
      <c r="O8" s="13"/>
      <c r="P8" s="13"/>
      <c r="Q8" s="13"/>
      <c r="R8" s="13"/>
      <c r="S8" s="16"/>
      <c r="T8" s="16"/>
    </row>
    <row r="9" spans="1:20" s="16" customFormat="1" ht="16.5" x14ac:dyDescent="0.25">
      <c r="A9" s="149"/>
      <c r="B9" s="246" t="s">
        <v>8</v>
      </c>
      <c r="C9" s="160"/>
      <c r="D9" s="161"/>
      <c r="E9" s="165">
        <f>SUM(E6:E8)</f>
        <v>51697944</v>
      </c>
      <c r="F9" s="166"/>
      <c r="G9" s="166"/>
      <c r="H9" s="167">
        <v>0</v>
      </c>
      <c r="I9" s="167"/>
      <c r="J9" s="167"/>
      <c r="K9" s="167"/>
      <c r="L9" s="166">
        <f>N9/E9</f>
        <v>0</v>
      </c>
      <c r="M9" s="219"/>
      <c r="N9" s="168"/>
      <c r="O9" s="17"/>
      <c r="P9" s="17"/>
      <c r="Q9" s="17"/>
      <c r="R9" s="17"/>
    </row>
    <row r="10" spans="1:20" ht="16.5" x14ac:dyDescent="0.25">
      <c r="A10" s="149"/>
      <c r="B10" s="147"/>
      <c r="C10" s="160"/>
      <c r="D10" s="161"/>
      <c r="E10" s="161"/>
      <c r="F10" s="169"/>
      <c r="G10" s="169"/>
      <c r="H10" s="160"/>
      <c r="I10" s="160"/>
      <c r="J10" s="160"/>
      <c r="K10" s="160"/>
      <c r="L10" s="147"/>
      <c r="M10" s="220"/>
      <c r="N10" s="170"/>
      <c r="O10" s="18"/>
      <c r="P10" s="18"/>
      <c r="Q10" s="18"/>
      <c r="R10" s="18"/>
      <c r="S10" s="16"/>
      <c r="T10" s="16"/>
    </row>
    <row r="11" spans="1:20" ht="16.5" x14ac:dyDescent="0.25">
      <c r="A11" s="149" t="s">
        <v>118</v>
      </c>
      <c r="B11" s="148" t="s">
        <v>117</v>
      </c>
      <c r="C11" s="160"/>
      <c r="D11" s="161"/>
      <c r="E11" s="161"/>
      <c r="F11" s="169"/>
      <c r="G11" s="169"/>
      <c r="H11" s="160"/>
      <c r="I11" s="160"/>
      <c r="J11" s="160"/>
      <c r="K11" s="160"/>
      <c r="L11" s="147"/>
      <c r="M11" s="220"/>
      <c r="N11" s="170"/>
      <c r="O11" s="18"/>
      <c r="P11" s="18"/>
      <c r="Q11" s="18"/>
      <c r="R11" s="18"/>
      <c r="S11" s="16"/>
      <c r="T11" s="16"/>
    </row>
    <row r="12" spans="1:20" ht="16.5" x14ac:dyDescent="0.25">
      <c r="A12" s="149"/>
      <c r="B12" s="147" t="s">
        <v>10</v>
      </c>
      <c r="C12" s="160">
        <v>1</v>
      </c>
      <c r="D12" s="171">
        <v>17944444</v>
      </c>
      <c r="E12" s="161">
        <f>C12*D12</f>
        <v>17944444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1</v>
      </c>
      <c r="L12" s="163">
        <f>K12-J12</f>
        <v>1</v>
      </c>
      <c r="M12" s="218"/>
      <c r="N12" s="164"/>
      <c r="O12" s="13"/>
      <c r="P12" s="13"/>
      <c r="Q12" s="13"/>
      <c r="R12" s="13"/>
      <c r="S12" s="16"/>
      <c r="T12" s="16"/>
    </row>
    <row r="13" spans="1:20" ht="16.5" x14ac:dyDescent="0.25">
      <c r="A13" s="149"/>
      <c r="B13" s="147" t="s">
        <v>11</v>
      </c>
      <c r="C13" s="160">
        <v>1</v>
      </c>
      <c r="D13" s="161">
        <v>2691667</v>
      </c>
      <c r="E13" s="161">
        <f t="shared" ref="E13:E18" si="0">C13*D13</f>
        <v>2691667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1</v>
      </c>
      <c r="L13" s="163">
        <f t="shared" ref="L13:L15" si="1">K13-J13</f>
        <v>1</v>
      </c>
      <c r="M13" s="218"/>
      <c r="N13" s="164"/>
      <c r="O13" s="13"/>
      <c r="P13" s="13"/>
      <c r="Q13" s="13"/>
      <c r="R13" s="13"/>
      <c r="S13" s="16"/>
      <c r="T13" s="16"/>
    </row>
    <row r="14" spans="1:20" ht="16.5" x14ac:dyDescent="0.25">
      <c r="A14" s="149"/>
      <c r="B14" s="147" t="s">
        <v>12</v>
      </c>
      <c r="C14" s="160">
        <v>1</v>
      </c>
      <c r="D14" s="161">
        <v>1940991</v>
      </c>
      <c r="E14" s="161">
        <f t="shared" si="0"/>
        <v>1940991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253">
        <v>1</v>
      </c>
      <c r="M14" s="253">
        <f t="shared" ref="M14:M18" si="2">L14-K14</f>
        <v>1</v>
      </c>
      <c r="N14" s="164">
        <f>E14*M14</f>
        <v>1940991</v>
      </c>
      <c r="O14" s="13"/>
      <c r="P14" s="13"/>
      <c r="Q14" s="13"/>
      <c r="R14" s="13"/>
      <c r="S14" s="16"/>
      <c r="T14" s="16"/>
    </row>
    <row r="15" spans="1:20" ht="16.5" x14ac:dyDescent="0.25">
      <c r="A15" s="149"/>
      <c r="B15" s="147" t="s">
        <v>13</v>
      </c>
      <c r="C15" s="160">
        <v>1</v>
      </c>
      <c r="D15" s="161">
        <v>1705320</v>
      </c>
      <c r="E15" s="161">
        <f t="shared" si="0"/>
        <v>1705320</v>
      </c>
      <c r="F15" s="163">
        <v>0</v>
      </c>
      <c r="G15" s="163">
        <v>0</v>
      </c>
      <c r="H15" s="163">
        <v>0</v>
      </c>
      <c r="I15" s="163">
        <v>0</v>
      </c>
      <c r="J15" s="163">
        <v>0</v>
      </c>
      <c r="K15" s="163">
        <v>1</v>
      </c>
      <c r="L15" s="163">
        <f t="shared" si="1"/>
        <v>1</v>
      </c>
      <c r="M15" s="218"/>
      <c r="N15" s="164"/>
      <c r="O15" s="13"/>
      <c r="P15" s="13"/>
      <c r="Q15" s="13"/>
      <c r="R15" s="13"/>
      <c r="S15" s="16"/>
      <c r="T15" s="16"/>
    </row>
    <row r="16" spans="1:20" ht="16.5" x14ac:dyDescent="0.25">
      <c r="A16" s="149"/>
      <c r="B16" s="147" t="s">
        <v>14</v>
      </c>
      <c r="C16" s="160">
        <v>1</v>
      </c>
      <c r="D16" s="161">
        <v>1046759</v>
      </c>
      <c r="E16" s="161">
        <f t="shared" si="0"/>
        <v>1046759</v>
      </c>
      <c r="F16" s="163">
        <v>0</v>
      </c>
      <c r="G16" s="163">
        <v>0</v>
      </c>
      <c r="H16" s="163">
        <v>0</v>
      </c>
      <c r="I16" s="163">
        <v>0</v>
      </c>
      <c r="J16" s="163">
        <v>0</v>
      </c>
      <c r="K16" s="163">
        <v>0</v>
      </c>
      <c r="L16" s="253">
        <v>1</v>
      </c>
      <c r="M16" s="253">
        <f t="shared" si="2"/>
        <v>1</v>
      </c>
      <c r="N16" s="164">
        <f>E16*M16</f>
        <v>1046759</v>
      </c>
      <c r="O16" s="13"/>
      <c r="P16" s="13"/>
      <c r="Q16" s="13"/>
      <c r="R16" s="13"/>
      <c r="S16" s="16"/>
      <c r="T16" s="16"/>
    </row>
    <row r="17" spans="1:20" ht="16.5" x14ac:dyDescent="0.25">
      <c r="A17" s="149"/>
      <c r="B17" s="147" t="s">
        <v>176</v>
      </c>
      <c r="C17" s="160">
        <v>3</v>
      </c>
      <c r="D17" s="161">
        <v>2135389</v>
      </c>
      <c r="E17" s="161">
        <f t="shared" si="0"/>
        <v>6406167</v>
      </c>
      <c r="F17" s="163">
        <v>0</v>
      </c>
      <c r="G17" s="163">
        <v>0</v>
      </c>
      <c r="H17" s="163">
        <v>0</v>
      </c>
      <c r="I17" s="163">
        <v>1</v>
      </c>
      <c r="J17" s="163">
        <v>1</v>
      </c>
      <c r="K17" s="163">
        <v>1</v>
      </c>
      <c r="L17" s="163">
        <v>1</v>
      </c>
      <c r="M17" s="253"/>
      <c r="N17" s="164"/>
      <c r="O17" s="13"/>
      <c r="P17" s="13"/>
      <c r="Q17" s="13"/>
      <c r="R17" s="13"/>
      <c r="S17" s="16"/>
      <c r="T17" s="16"/>
    </row>
    <row r="18" spans="1:20" ht="16.5" x14ac:dyDescent="0.25">
      <c r="A18" s="149"/>
      <c r="B18" s="147" t="s">
        <v>15</v>
      </c>
      <c r="C18" s="160">
        <v>5</v>
      </c>
      <c r="D18" s="161">
        <v>323000</v>
      </c>
      <c r="E18" s="161">
        <f t="shared" si="0"/>
        <v>1615000</v>
      </c>
      <c r="F18" s="163">
        <v>0</v>
      </c>
      <c r="G18" s="163">
        <v>0</v>
      </c>
      <c r="H18" s="163">
        <v>0</v>
      </c>
      <c r="I18" s="163">
        <v>0</v>
      </c>
      <c r="J18" s="163">
        <v>0</v>
      </c>
      <c r="K18" s="163">
        <v>0</v>
      </c>
      <c r="L18" s="253">
        <v>1</v>
      </c>
      <c r="M18" s="253">
        <f t="shared" si="2"/>
        <v>1</v>
      </c>
      <c r="N18" s="164">
        <f t="shared" ref="N18" si="3">E18*M18</f>
        <v>1615000</v>
      </c>
      <c r="O18" s="13"/>
      <c r="P18" s="13"/>
      <c r="Q18" s="13"/>
      <c r="R18" s="13"/>
      <c r="S18" s="16"/>
      <c r="T18" s="16"/>
    </row>
    <row r="19" spans="1:20" s="16" customFormat="1" ht="16.5" x14ac:dyDescent="0.25">
      <c r="A19" s="149"/>
      <c r="B19" s="350" t="s">
        <v>16</v>
      </c>
      <c r="C19" s="350"/>
      <c r="D19" s="350"/>
      <c r="E19" s="172">
        <f>SUM(E12:E18)</f>
        <v>33350348</v>
      </c>
      <c r="F19" s="166"/>
      <c r="G19" s="166"/>
      <c r="H19" s="167">
        <v>0</v>
      </c>
      <c r="I19" s="167"/>
      <c r="J19" s="167"/>
      <c r="K19" s="167"/>
      <c r="L19" s="166">
        <f>N19/E19</f>
        <v>0.13801205312760154</v>
      </c>
      <c r="M19" s="219"/>
      <c r="N19" s="168">
        <f>SUM(N12:N18)</f>
        <v>4602750</v>
      </c>
      <c r="O19" s="17"/>
      <c r="P19" s="17"/>
      <c r="Q19" s="17"/>
      <c r="R19" s="17"/>
    </row>
    <row r="20" spans="1:20" ht="16.5" x14ac:dyDescent="0.25">
      <c r="A20" s="149" t="s">
        <v>120</v>
      </c>
      <c r="B20" s="350" t="s">
        <v>119</v>
      </c>
      <c r="C20" s="350"/>
      <c r="D20" s="350"/>
      <c r="E20" s="246"/>
      <c r="F20" s="173"/>
      <c r="G20" s="173"/>
      <c r="H20" s="246"/>
      <c r="I20" s="246"/>
      <c r="J20" s="246"/>
      <c r="K20" s="246"/>
      <c r="L20" s="246"/>
      <c r="M20" s="217"/>
      <c r="N20" s="174"/>
      <c r="O20" s="18"/>
      <c r="P20" s="18"/>
      <c r="Q20" s="18"/>
      <c r="R20" s="18"/>
      <c r="S20" s="16"/>
      <c r="T20" s="16"/>
    </row>
    <row r="21" spans="1:20" ht="23.25" customHeight="1" x14ac:dyDescent="0.25">
      <c r="A21" s="149"/>
      <c r="B21" s="175" t="s">
        <v>18</v>
      </c>
      <c r="C21" s="160">
        <v>2</v>
      </c>
      <c r="D21" s="161">
        <v>3887963</v>
      </c>
      <c r="E21" s="161">
        <f>C21*D21</f>
        <v>7775926</v>
      </c>
      <c r="F21" s="163">
        <v>0</v>
      </c>
      <c r="G21" s="163">
        <v>0</v>
      </c>
      <c r="H21" s="163">
        <v>0</v>
      </c>
      <c r="I21" s="163">
        <v>1</v>
      </c>
      <c r="J21" s="163">
        <v>1</v>
      </c>
      <c r="K21" s="163">
        <v>1</v>
      </c>
      <c r="L21" s="163">
        <v>1</v>
      </c>
      <c r="M21" s="218"/>
      <c r="N21" s="164"/>
      <c r="O21" s="13"/>
      <c r="P21" s="13"/>
      <c r="Q21" s="13"/>
      <c r="R21" s="13"/>
      <c r="S21" s="16"/>
      <c r="T21" s="16"/>
    </row>
    <row r="22" spans="1:20" ht="37.5" customHeight="1" x14ac:dyDescent="0.25">
      <c r="A22" s="149"/>
      <c r="B22" s="176" t="s">
        <v>94</v>
      </c>
      <c r="C22" s="160">
        <v>2</v>
      </c>
      <c r="D22" s="161">
        <v>5383333</v>
      </c>
      <c r="E22" s="161">
        <f>C22*D22</f>
        <v>10766666</v>
      </c>
      <c r="F22" s="163">
        <v>0.99999990712074593</v>
      </c>
      <c r="G22" s="163">
        <v>0.99999990712074593</v>
      </c>
      <c r="H22" s="163">
        <v>1</v>
      </c>
      <c r="I22" s="163">
        <v>1</v>
      </c>
      <c r="J22" s="163">
        <v>1</v>
      </c>
      <c r="K22" s="163">
        <v>1</v>
      </c>
      <c r="L22" s="163">
        <v>1</v>
      </c>
      <c r="M22" s="218"/>
      <c r="N22" s="164"/>
      <c r="O22" s="13"/>
      <c r="P22" s="13"/>
      <c r="Q22" s="13"/>
      <c r="R22" s="13"/>
      <c r="S22" s="16"/>
      <c r="T22" s="16"/>
    </row>
    <row r="23" spans="1:20" s="16" customFormat="1" ht="16.5" x14ac:dyDescent="0.25">
      <c r="A23" s="149"/>
      <c r="B23" s="350" t="s">
        <v>19</v>
      </c>
      <c r="C23" s="350"/>
      <c r="D23" s="350"/>
      <c r="E23" s="172">
        <f>SUM(E21:E22)</f>
        <v>18542592</v>
      </c>
      <c r="F23" s="166"/>
      <c r="G23" s="166"/>
      <c r="H23" s="167">
        <v>0</v>
      </c>
      <c r="I23" s="167"/>
      <c r="J23" s="167"/>
      <c r="K23" s="167"/>
      <c r="L23" s="166">
        <f>N23/E23</f>
        <v>0</v>
      </c>
      <c r="M23" s="218"/>
      <c r="N23" s="164"/>
      <c r="O23" s="17"/>
      <c r="P23" s="17"/>
      <c r="Q23" s="17"/>
      <c r="R23" s="17"/>
    </row>
    <row r="24" spans="1:20" ht="16.5" x14ac:dyDescent="0.25">
      <c r="A24" s="149" t="s">
        <v>122</v>
      </c>
      <c r="B24" s="350" t="s">
        <v>121</v>
      </c>
      <c r="C24" s="350"/>
      <c r="D24" s="350"/>
      <c r="E24" s="246"/>
      <c r="F24" s="173"/>
      <c r="G24" s="173"/>
      <c r="H24" s="246"/>
      <c r="I24" s="246"/>
      <c r="J24" s="246"/>
      <c r="K24" s="246"/>
      <c r="L24" s="246"/>
      <c r="M24" s="218"/>
      <c r="N24" s="164"/>
      <c r="O24" s="18"/>
      <c r="P24" s="18"/>
      <c r="Q24" s="18"/>
      <c r="R24" s="18"/>
      <c r="S24" s="16"/>
      <c r="T24" s="16"/>
    </row>
    <row r="25" spans="1:20" ht="16.5" x14ac:dyDescent="0.25">
      <c r="A25" s="149"/>
      <c r="B25" s="147" t="s">
        <v>21</v>
      </c>
      <c r="C25" s="160">
        <v>4</v>
      </c>
      <c r="D25" s="161">
        <v>193800</v>
      </c>
      <c r="E25" s="161">
        <f>C25*D25</f>
        <v>775200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  <c r="K25" s="163">
        <v>0</v>
      </c>
      <c r="L25" s="253">
        <v>1</v>
      </c>
      <c r="M25" s="253">
        <f>L25-K25</f>
        <v>1</v>
      </c>
      <c r="N25" s="164">
        <f>E25*M25</f>
        <v>775200</v>
      </c>
      <c r="O25" s="13"/>
      <c r="P25" s="13"/>
      <c r="Q25" s="13"/>
      <c r="R25" s="13"/>
      <c r="S25" s="16"/>
      <c r="T25" s="16"/>
    </row>
    <row r="26" spans="1:20" ht="16.5" x14ac:dyDescent="0.25">
      <c r="A26" s="149"/>
      <c r="B26" s="147" t="s">
        <v>22</v>
      </c>
      <c r="C26" s="160">
        <v>4</v>
      </c>
      <c r="D26" s="161">
        <v>93311</v>
      </c>
      <c r="E26" s="161">
        <f>C26*D26</f>
        <v>373244</v>
      </c>
      <c r="F26" s="163">
        <v>0</v>
      </c>
      <c r="G26" s="163">
        <v>0</v>
      </c>
      <c r="H26" s="163">
        <v>0</v>
      </c>
      <c r="I26" s="163">
        <v>0</v>
      </c>
      <c r="J26" s="163">
        <v>0</v>
      </c>
      <c r="K26" s="163">
        <v>0</v>
      </c>
      <c r="L26" s="253">
        <v>1</v>
      </c>
      <c r="M26" s="253">
        <f t="shared" ref="M26" si="4">L26-K26</f>
        <v>1</v>
      </c>
      <c r="N26" s="164">
        <f>E26*M26</f>
        <v>373244</v>
      </c>
      <c r="O26" s="13"/>
      <c r="P26" s="13"/>
      <c r="Q26" s="13"/>
      <c r="R26" s="13"/>
      <c r="S26" s="16"/>
      <c r="T26" s="16"/>
    </row>
    <row r="27" spans="1:20" ht="16.5" x14ac:dyDescent="0.25">
      <c r="A27" s="149"/>
      <c r="B27" s="147" t="s">
        <v>23</v>
      </c>
      <c r="C27" s="160">
        <v>3</v>
      </c>
      <c r="D27" s="161">
        <v>260194</v>
      </c>
      <c r="E27" s="161">
        <f>C27*D27</f>
        <v>780582</v>
      </c>
      <c r="F27" s="163">
        <v>0</v>
      </c>
      <c r="G27" s="163">
        <v>0</v>
      </c>
      <c r="H27" s="163">
        <v>0</v>
      </c>
      <c r="I27" s="163">
        <v>0</v>
      </c>
      <c r="J27" s="163">
        <v>0.99999871890625336</v>
      </c>
      <c r="K27" s="163">
        <v>0.99999871890625336</v>
      </c>
      <c r="L27" s="163">
        <v>1</v>
      </c>
      <c r="M27" s="218"/>
      <c r="N27" s="164"/>
      <c r="O27" s="13"/>
      <c r="P27" s="13"/>
      <c r="Q27" s="13"/>
      <c r="R27" s="13"/>
      <c r="S27" s="16"/>
      <c r="T27" s="16"/>
    </row>
    <row r="28" spans="1:20" ht="16.5" x14ac:dyDescent="0.25">
      <c r="A28" s="149"/>
      <c r="B28" s="177" t="s">
        <v>24</v>
      </c>
      <c r="C28" s="160"/>
      <c r="D28" s="161"/>
      <c r="E28" s="172">
        <f>SUM(E25:E27)</f>
        <v>1929026</v>
      </c>
      <c r="F28" s="163"/>
      <c r="G28" s="163"/>
      <c r="H28" s="163"/>
      <c r="I28" s="163"/>
      <c r="J28" s="163"/>
      <c r="K28" s="163"/>
      <c r="L28" s="166">
        <f>N28/E28</f>
        <v>0</v>
      </c>
      <c r="M28" s="219"/>
      <c r="N28" s="164"/>
      <c r="O28" s="13"/>
      <c r="P28" s="13"/>
      <c r="Q28" s="13"/>
      <c r="R28" s="13"/>
      <c r="S28" s="16"/>
      <c r="T28" s="16"/>
    </row>
    <row r="29" spans="1:20" s="16" customFormat="1" ht="16.5" x14ac:dyDescent="0.25">
      <c r="A29" s="149"/>
      <c r="B29" s="246" t="s">
        <v>123</v>
      </c>
      <c r="C29" s="246"/>
      <c r="D29" s="246"/>
      <c r="E29" s="246"/>
      <c r="F29" s="166"/>
      <c r="G29" s="166"/>
      <c r="H29" s="167"/>
      <c r="I29" s="167"/>
      <c r="J29" s="167"/>
      <c r="K29" s="167"/>
      <c r="L29" s="167"/>
      <c r="M29" s="221"/>
      <c r="N29" s="167"/>
      <c r="O29" s="17"/>
      <c r="P29" s="17"/>
      <c r="Q29" s="17"/>
      <c r="R29" s="17"/>
    </row>
    <row r="30" spans="1:20" ht="16.5" x14ac:dyDescent="0.25">
      <c r="A30" s="149"/>
      <c r="B30" s="147"/>
      <c r="C30" s="160"/>
      <c r="D30" s="161"/>
      <c r="E30" s="161"/>
      <c r="F30" s="169"/>
      <c r="G30" s="169"/>
      <c r="H30" s="160"/>
      <c r="I30" s="160"/>
      <c r="J30" s="160"/>
      <c r="K30" s="160"/>
      <c r="L30" s="147"/>
      <c r="M30" s="220"/>
      <c r="N30" s="147"/>
      <c r="O30" s="18"/>
      <c r="P30" s="18"/>
      <c r="Q30" s="18"/>
      <c r="R30" s="18"/>
      <c r="S30" s="16"/>
      <c r="T30" s="16"/>
    </row>
    <row r="31" spans="1:20" ht="16.5" x14ac:dyDescent="0.25">
      <c r="A31" s="149" t="s">
        <v>125</v>
      </c>
      <c r="B31" s="352" t="s">
        <v>124</v>
      </c>
      <c r="C31" s="352"/>
      <c r="D31" s="352"/>
      <c r="E31" s="248"/>
      <c r="F31" s="173"/>
      <c r="G31" s="173"/>
      <c r="H31" s="246"/>
      <c r="I31" s="246"/>
      <c r="J31" s="246"/>
      <c r="K31" s="246"/>
      <c r="L31" s="246"/>
      <c r="M31" s="217"/>
      <c r="N31" s="246"/>
      <c r="O31" s="18"/>
      <c r="P31" s="18"/>
      <c r="Q31" s="18"/>
      <c r="R31" s="18"/>
      <c r="S31" s="16"/>
      <c r="T31" s="16"/>
    </row>
    <row r="32" spans="1:20" ht="16.5" x14ac:dyDescent="0.25">
      <c r="A32" s="149"/>
      <c r="B32" s="147" t="s">
        <v>27</v>
      </c>
      <c r="C32" s="160">
        <v>1</v>
      </c>
      <c r="D32" s="161">
        <v>1046759</v>
      </c>
      <c r="E32" s="161">
        <f>C32*D32</f>
        <v>1046759</v>
      </c>
      <c r="F32" s="163">
        <v>1</v>
      </c>
      <c r="G32" s="163">
        <v>1</v>
      </c>
      <c r="H32" s="163">
        <v>1</v>
      </c>
      <c r="I32" s="163">
        <v>1</v>
      </c>
      <c r="J32" s="163">
        <v>1</v>
      </c>
      <c r="K32" s="163">
        <v>1</v>
      </c>
      <c r="L32" s="163">
        <v>1</v>
      </c>
      <c r="M32" s="218"/>
      <c r="N32" s="164"/>
      <c r="O32" s="13"/>
      <c r="P32" s="13"/>
      <c r="Q32" s="13"/>
      <c r="R32" s="13"/>
      <c r="S32" s="16"/>
      <c r="T32" s="16"/>
    </row>
    <row r="33" spans="1:20" ht="16.5" x14ac:dyDescent="0.25">
      <c r="A33" s="149"/>
      <c r="B33" s="145" t="s">
        <v>171</v>
      </c>
      <c r="C33" s="160">
        <v>2</v>
      </c>
      <c r="D33" s="161">
        <v>1943981</v>
      </c>
      <c r="E33" s="161">
        <f t="shared" ref="E33:E42" si="5">C33*D33</f>
        <v>3887962</v>
      </c>
      <c r="F33" s="163">
        <v>0</v>
      </c>
      <c r="G33" s="163">
        <v>0</v>
      </c>
      <c r="H33" s="163">
        <v>0</v>
      </c>
      <c r="I33" s="163">
        <v>0</v>
      </c>
      <c r="J33" s="163">
        <v>0.9999997427959062</v>
      </c>
      <c r="K33" s="163">
        <v>1</v>
      </c>
      <c r="L33" s="163">
        <v>1</v>
      </c>
      <c r="M33" s="218"/>
      <c r="N33" s="164"/>
      <c r="O33" s="13"/>
      <c r="P33" s="13"/>
      <c r="Q33" s="13"/>
      <c r="R33" s="13"/>
      <c r="S33" s="16"/>
      <c r="T33" s="16"/>
    </row>
    <row r="34" spans="1:20" ht="16.5" x14ac:dyDescent="0.25">
      <c r="A34" s="149"/>
      <c r="B34" s="145" t="s">
        <v>28</v>
      </c>
      <c r="C34" s="160">
        <v>8</v>
      </c>
      <c r="D34" s="161">
        <v>265457</v>
      </c>
      <c r="E34" s="161">
        <f t="shared" si="5"/>
        <v>2123656</v>
      </c>
      <c r="F34" s="163">
        <v>0</v>
      </c>
      <c r="G34" s="163">
        <v>0</v>
      </c>
      <c r="H34" s="163">
        <v>0.99999858734382496</v>
      </c>
      <c r="I34" s="163">
        <v>1</v>
      </c>
      <c r="J34" s="163">
        <v>1</v>
      </c>
      <c r="K34" s="163">
        <v>1</v>
      </c>
      <c r="L34" s="163">
        <v>1</v>
      </c>
      <c r="M34" s="218"/>
      <c r="N34" s="164"/>
      <c r="O34" s="13"/>
      <c r="P34" s="13"/>
      <c r="Q34" s="13"/>
      <c r="R34" s="13"/>
      <c r="S34" s="16"/>
      <c r="T34" s="16"/>
    </row>
    <row r="35" spans="1:20" ht="16.5" x14ac:dyDescent="0.25">
      <c r="A35" s="149"/>
      <c r="B35" s="147" t="s">
        <v>29</v>
      </c>
      <c r="C35" s="160">
        <v>3</v>
      </c>
      <c r="D35" s="161">
        <v>1046759</v>
      </c>
      <c r="E35" s="161">
        <f t="shared" si="5"/>
        <v>3140277</v>
      </c>
      <c r="F35" s="163">
        <v>0</v>
      </c>
      <c r="G35" s="163">
        <v>0</v>
      </c>
      <c r="H35" s="163">
        <v>0.99999968155685581</v>
      </c>
      <c r="I35" s="163">
        <v>1</v>
      </c>
      <c r="J35" s="163">
        <v>1</v>
      </c>
      <c r="K35" s="163">
        <v>1</v>
      </c>
      <c r="L35" s="163">
        <v>1</v>
      </c>
      <c r="M35" s="218"/>
      <c r="N35" s="164"/>
      <c r="O35" s="13"/>
      <c r="P35" s="13"/>
      <c r="Q35" s="13"/>
      <c r="R35" s="13"/>
      <c r="S35" s="16"/>
      <c r="T35" s="16"/>
    </row>
    <row r="36" spans="1:20" ht="20.25" customHeight="1" x14ac:dyDescent="0.25">
      <c r="A36" s="149"/>
      <c r="B36" s="176" t="s">
        <v>30</v>
      </c>
      <c r="C36" s="160">
        <v>1</v>
      </c>
      <c r="D36" s="161">
        <v>2213148</v>
      </c>
      <c r="E36" s="161">
        <f t="shared" si="5"/>
        <v>2213148</v>
      </c>
      <c r="F36" s="163">
        <v>0</v>
      </c>
      <c r="G36" s="163">
        <v>0</v>
      </c>
      <c r="H36" s="163">
        <v>1</v>
      </c>
      <c r="I36" s="163">
        <v>1</v>
      </c>
      <c r="J36" s="163">
        <v>1</v>
      </c>
      <c r="K36" s="163">
        <v>1</v>
      </c>
      <c r="L36" s="163">
        <v>1</v>
      </c>
      <c r="M36" s="218"/>
      <c r="N36" s="164">
        <f t="shared" ref="N36:N42" si="6">M36*E36</f>
        <v>0</v>
      </c>
      <c r="O36" s="13"/>
      <c r="P36" s="13"/>
      <c r="Q36" s="13"/>
      <c r="R36" s="13"/>
      <c r="S36" s="16"/>
      <c r="T36" s="16"/>
    </row>
    <row r="37" spans="1:20" ht="33" x14ac:dyDescent="0.25">
      <c r="A37" s="149"/>
      <c r="B37" s="145" t="s">
        <v>31</v>
      </c>
      <c r="C37" s="160">
        <v>1</v>
      </c>
      <c r="D37" s="161">
        <v>2990741</v>
      </c>
      <c r="E37" s="161">
        <f t="shared" si="5"/>
        <v>2990741</v>
      </c>
      <c r="F37" s="163">
        <v>0</v>
      </c>
      <c r="G37" s="163">
        <v>0</v>
      </c>
      <c r="H37" s="163">
        <v>1</v>
      </c>
      <c r="I37" s="163">
        <v>1</v>
      </c>
      <c r="J37" s="163">
        <v>1</v>
      </c>
      <c r="K37" s="163">
        <v>1</v>
      </c>
      <c r="L37" s="163">
        <v>1</v>
      </c>
      <c r="M37" s="218"/>
      <c r="N37" s="164">
        <f t="shared" si="6"/>
        <v>0</v>
      </c>
      <c r="O37" s="13"/>
      <c r="P37" s="13"/>
      <c r="Q37" s="13"/>
      <c r="R37" s="13"/>
      <c r="S37" s="16"/>
      <c r="T37" s="16"/>
    </row>
    <row r="38" spans="1:20" ht="16.5" x14ac:dyDescent="0.25">
      <c r="A38" s="149"/>
      <c r="B38" s="145" t="s">
        <v>32</v>
      </c>
      <c r="C38" s="160">
        <v>1</v>
      </c>
      <c r="D38" s="161">
        <v>2762963</v>
      </c>
      <c r="E38" s="161">
        <f t="shared" si="5"/>
        <v>2762963</v>
      </c>
      <c r="F38" s="163">
        <v>0</v>
      </c>
      <c r="G38" s="163">
        <v>0</v>
      </c>
      <c r="H38" s="163">
        <v>1</v>
      </c>
      <c r="I38" s="163">
        <v>1</v>
      </c>
      <c r="J38" s="163">
        <v>1</v>
      </c>
      <c r="K38" s="163">
        <v>1</v>
      </c>
      <c r="L38" s="163">
        <v>1</v>
      </c>
      <c r="M38" s="218"/>
      <c r="N38" s="164">
        <f t="shared" si="6"/>
        <v>0</v>
      </c>
      <c r="O38" s="11"/>
      <c r="P38" s="11"/>
      <c r="Q38" s="11"/>
      <c r="R38" s="11"/>
    </row>
    <row r="39" spans="1:20" ht="16.5" x14ac:dyDescent="0.25">
      <c r="A39" s="149"/>
      <c r="B39" s="145" t="s">
        <v>33</v>
      </c>
      <c r="C39" s="160">
        <v>1</v>
      </c>
      <c r="D39" s="161">
        <v>2063611</v>
      </c>
      <c r="E39" s="161">
        <f t="shared" si="5"/>
        <v>2063611</v>
      </c>
      <c r="F39" s="163">
        <v>0</v>
      </c>
      <c r="G39" s="163">
        <v>0</v>
      </c>
      <c r="H39" s="163">
        <v>0</v>
      </c>
      <c r="I39" s="163">
        <v>0</v>
      </c>
      <c r="J39" s="163">
        <v>1</v>
      </c>
      <c r="K39" s="163">
        <v>1</v>
      </c>
      <c r="L39" s="163">
        <v>1</v>
      </c>
      <c r="M39" s="218"/>
      <c r="N39" s="164">
        <f t="shared" si="6"/>
        <v>0</v>
      </c>
      <c r="O39" s="11"/>
      <c r="P39" s="11"/>
      <c r="Q39" s="11"/>
      <c r="R39" s="11"/>
    </row>
    <row r="40" spans="1:20" ht="16.5" x14ac:dyDescent="0.25">
      <c r="A40" s="149"/>
      <c r="B40" s="147" t="s">
        <v>34</v>
      </c>
      <c r="C40" s="160">
        <v>2</v>
      </c>
      <c r="D40" s="161">
        <v>1088630</v>
      </c>
      <c r="E40" s="161">
        <f t="shared" si="5"/>
        <v>2177260</v>
      </c>
      <c r="F40" s="163">
        <v>0</v>
      </c>
      <c r="G40" s="163">
        <v>0</v>
      </c>
      <c r="H40" s="163">
        <v>0</v>
      </c>
      <c r="I40" s="163">
        <v>0</v>
      </c>
      <c r="J40" s="163">
        <v>1.0000004592930836</v>
      </c>
      <c r="K40" s="163">
        <v>1</v>
      </c>
      <c r="L40" s="163">
        <v>1</v>
      </c>
      <c r="M40" s="218"/>
      <c r="N40" s="164">
        <f t="shared" si="6"/>
        <v>0</v>
      </c>
      <c r="O40" s="13"/>
      <c r="P40" s="13"/>
      <c r="Q40" s="13"/>
      <c r="R40" s="13"/>
    </row>
    <row r="41" spans="1:20" ht="16.5" x14ac:dyDescent="0.25">
      <c r="A41" s="149"/>
      <c r="B41" s="147" t="s">
        <v>35</v>
      </c>
      <c r="C41" s="160">
        <v>2</v>
      </c>
      <c r="D41" s="161">
        <v>508426</v>
      </c>
      <c r="E41" s="161">
        <f t="shared" si="5"/>
        <v>1016852</v>
      </c>
      <c r="F41" s="163">
        <v>1</v>
      </c>
      <c r="G41" s="163">
        <v>1</v>
      </c>
      <c r="H41" s="163">
        <v>1</v>
      </c>
      <c r="I41" s="163">
        <v>1</v>
      </c>
      <c r="J41" s="163">
        <v>1</v>
      </c>
      <c r="K41" s="163">
        <v>1</v>
      </c>
      <c r="L41" s="163">
        <v>1</v>
      </c>
      <c r="M41" s="218"/>
      <c r="N41" s="164">
        <f t="shared" si="6"/>
        <v>0</v>
      </c>
      <c r="O41" s="13"/>
      <c r="P41" s="13"/>
      <c r="Q41" s="13"/>
      <c r="R41" s="13"/>
    </row>
    <row r="42" spans="1:20" ht="16.5" x14ac:dyDescent="0.25">
      <c r="A42" s="149"/>
      <c r="B42" s="147" t="s">
        <v>36</v>
      </c>
      <c r="C42" s="160">
        <v>2</v>
      </c>
      <c r="D42" s="161">
        <v>2930926</v>
      </c>
      <c r="E42" s="161">
        <f t="shared" si="5"/>
        <v>5861852</v>
      </c>
      <c r="F42" s="163">
        <v>1</v>
      </c>
      <c r="G42" s="163">
        <v>1</v>
      </c>
      <c r="H42" s="163">
        <v>1</v>
      </c>
      <c r="I42" s="163">
        <v>1</v>
      </c>
      <c r="J42" s="163">
        <v>1</v>
      </c>
      <c r="K42" s="163">
        <v>1</v>
      </c>
      <c r="L42" s="163">
        <v>1</v>
      </c>
      <c r="M42" s="218"/>
      <c r="N42" s="164">
        <f t="shared" si="6"/>
        <v>0</v>
      </c>
      <c r="O42" s="13"/>
      <c r="P42" s="13"/>
      <c r="Q42" s="13"/>
      <c r="R42" s="13"/>
    </row>
    <row r="43" spans="1:20" s="16" customFormat="1" ht="16.5" x14ac:dyDescent="0.25">
      <c r="A43" s="149"/>
      <c r="B43" s="246" t="s">
        <v>126</v>
      </c>
      <c r="C43" s="246"/>
      <c r="D43" s="246"/>
      <c r="E43" s="172">
        <f>SUM(E32:E42)</f>
        <v>29285081</v>
      </c>
      <c r="F43" s="166"/>
      <c r="G43" s="166"/>
      <c r="H43" s="167">
        <v>0.45179253559191301</v>
      </c>
      <c r="I43" s="167"/>
      <c r="J43" s="167"/>
      <c r="K43" s="167"/>
      <c r="L43" s="166">
        <f>N43/E43</f>
        <v>0</v>
      </c>
      <c r="M43" s="219"/>
      <c r="N43" s="167"/>
      <c r="O43" s="17"/>
      <c r="P43" s="17"/>
      <c r="Q43" s="17"/>
      <c r="R43" s="17"/>
    </row>
    <row r="44" spans="1:20" ht="16.5" x14ac:dyDescent="0.25">
      <c r="A44" s="149" t="s">
        <v>128</v>
      </c>
      <c r="B44" s="352" t="s">
        <v>127</v>
      </c>
      <c r="C44" s="352"/>
      <c r="D44" s="352"/>
      <c r="E44" s="248"/>
      <c r="F44" s="173"/>
      <c r="G44" s="173"/>
      <c r="H44" s="246"/>
      <c r="I44" s="246"/>
      <c r="J44" s="246"/>
      <c r="K44" s="246"/>
      <c r="L44" s="246"/>
      <c r="M44" s="217"/>
      <c r="N44" s="246"/>
      <c r="O44" s="18"/>
      <c r="P44" s="18"/>
      <c r="Q44" s="18"/>
      <c r="R44" s="18"/>
    </row>
    <row r="45" spans="1:20" ht="16.5" x14ac:dyDescent="0.25">
      <c r="A45" s="149"/>
      <c r="B45" s="147" t="s">
        <v>39</v>
      </c>
      <c r="C45" s="160"/>
      <c r="D45" s="161"/>
      <c r="E45" s="161"/>
      <c r="F45" s="169"/>
      <c r="G45" s="169"/>
      <c r="H45" s="160"/>
      <c r="I45" s="160"/>
      <c r="J45" s="160"/>
      <c r="K45" s="160"/>
      <c r="L45" s="147"/>
      <c r="M45" s="220"/>
      <c r="N45" s="147"/>
      <c r="O45" s="18"/>
      <c r="P45" s="18"/>
      <c r="Q45" s="18"/>
      <c r="R45" s="18"/>
    </row>
    <row r="46" spans="1:20" ht="16.5" x14ac:dyDescent="0.25">
      <c r="A46" s="149"/>
      <c r="B46" s="147" t="s">
        <v>40</v>
      </c>
      <c r="C46" s="160">
        <v>1</v>
      </c>
      <c r="D46" s="161">
        <v>1196296</v>
      </c>
      <c r="E46" s="161">
        <f>C46*D46</f>
        <v>1196296</v>
      </c>
      <c r="F46" s="163">
        <v>1</v>
      </c>
      <c r="G46" s="163">
        <v>1</v>
      </c>
      <c r="H46" s="163">
        <v>1</v>
      </c>
      <c r="I46" s="163">
        <v>1</v>
      </c>
      <c r="J46" s="163">
        <v>1</v>
      </c>
      <c r="K46" s="163">
        <v>1</v>
      </c>
      <c r="L46" s="163">
        <v>1</v>
      </c>
      <c r="M46" s="218"/>
      <c r="N46" s="164"/>
      <c r="O46" s="13"/>
      <c r="P46" s="13"/>
      <c r="Q46" s="13"/>
      <c r="R46" s="13"/>
    </row>
    <row r="47" spans="1:20" ht="16.5" x14ac:dyDescent="0.25">
      <c r="A47" s="149"/>
      <c r="B47" s="147" t="s">
        <v>41</v>
      </c>
      <c r="C47" s="160">
        <v>1</v>
      </c>
      <c r="D47" s="161">
        <v>598148</v>
      </c>
      <c r="E47" s="161">
        <f>C47*D47</f>
        <v>598148</v>
      </c>
      <c r="F47" s="163">
        <v>1</v>
      </c>
      <c r="G47" s="163">
        <v>1</v>
      </c>
      <c r="H47" s="163">
        <v>1</v>
      </c>
      <c r="I47" s="163">
        <v>1</v>
      </c>
      <c r="J47" s="163">
        <v>1</v>
      </c>
      <c r="K47" s="163">
        <v>1</v>
      </c>
      <c r="L47" s="163">
        <v>1</v>
      </c>
      <c r="M47" s="218"/>
      <c r="N47" s="164"/>
      <c r="O47" s="13"/>
      <c r="P47" s="13"/>
      <c r="Q47" s="13"/>
      <c r="R47" s="13"/>
    </row>
    <row r="48" spans="1:20" ht="16.5" x14ac:dyDescent="0.25">
      <c r="A48" s="149"/>
      <c r="B48" s="147" t="s">
        <v>42</v>
      </c>
      <c r="C48" s="160">
        <v>1</v>
      </c>
      <c r="D48" s="161">
        <v>598148</v>
      </c>
      <c r="E48" s="161">
        <f>C48*D48</f>
        <v>598148</v>
      </c>
      <c r="F48" s="163">
        <v>1</v>
      </c>
      <c r="G48" s="163">
        <v>1</v>
      </c>
      <c r="H48" s="163">
        <v>1</v>
      </c>
      <c r="I48" s="163">
        <v>1</v>
      </c>
      <c r="J48" s="163">
        <v>1</v>
      </c>
      <c r="K48" s="163">
        <v>1</v>
      </c>
      <c r="L48" s="163">
        <v>1</v>
      </c>
      <c r="M48" s="218"/>
      <c r="N48" s="164"/>
      <c r="O48" s="13"/>
      <c r="P48" s="13"/>
      <c r="Q48" s="13"/>
      <c r="R48" s="13"/>
    </row>
    <row r="49" spans="1:19" s="16" customFormat="1" ht="16.5" x14ac:dyDescent="0.25">
      <c r="A49" s="149"/>
      <c r="B49" s="246" t="s">
        <v>129</v>
      </c>
      <c r="C49" s="246"/>
      <c r="D49" s="246"/>
      <c r="E49" s="172">
        <f>SUM(E46:E48)</f>
        <v>2392592</v>
      </c>
      <c r="F49" s="166"/>
      <c r="G49" s="166"/>
      <c r="H49" s="167">
        <v>0</v>
      </c>
      <c r="I49" s="167"/>
      <c r="J49" s="167"/>
      <c r="K49" s="167"/>
      <c r="L49" s="166">
        <f>N49/E49</f>
        <v>0</v>
      </c>
      <c r="M49" s="219"/>
      <c r="N49" s="167"/>
      <c r="O49" s="17"/>
      <c r="P49" s="17"/>
      <c r="Q49" s="17"/>
      <c r="R49" s="17"/>
    </row>
    <row r="50" spans="1:19" ht="16.5" x14ac:dyDescent="0.25">
      <c r="A50" s="149" t="s">
        <v>131</v>
      </c>
      <c r="B50" s="148" t="s">
        <v>130</v>
      </c>
      <c r="C50" s="160"/>
      <c r="D50" s="161"/>
      <c r="E50" s="161"/>
      <c r="F50" s="169"/>
      <c r="G50" s="169"/>
      <c r="H50" s="160"/>
      <c r="I50" s="160"/>
      <c r="J50" s="160"/>
      <c r="K50" s="160"/>
      <c r="L50" s="147"/>
      <c r="M50" s="220"/>
      <c r="N50" s="147"/>
      <c r="O50" s="18"/>
      <c r="P50" s="18"/>
      <c r="Q50" s="18"/>
      <c r="R50" s="18"/>
    </row>
    <row r="51" spans="1:19" ht="16.5" x14ac:dyDescent="0.25">
      <c r="A51" s="149" t="s">
        <v>133</v>
      </c>
      <c r="B51" s="148" t="s">
        <v>132</v>
      </c>
      <c r="C51" s="160"/>
      <c r="D51" s="161"/>
      <c r="E51" s="161"/>
      <c r="F51" s="169"/>
      <c r="G51" s="169"/>
      <c r="H51" s="160"/>
      <c r="I51" s="160"/>
      <c r="J51" s="160"/>
      <c r="K51" s="160"/>
      <c r="L51" s="147"/>
      <c r="M51" s="220"/>
      <c r="N51" s="147"/>
      <c r="O51" s="18"/>
      <c r="P51" s="18"/>
      <c r="Q51" s="18"/>
      <c r="R51" s="18"/>
    </row>
    <row r="52" spans="1:19" ht="16.5" x14ac:dyDescent="0.25">
      <c r="A52" s="149"/>
      <c r="B52" s="147" t="s">
        <v>45</v>
      </c>
      <c r="C52" s="160">
        <v>12</v>
      </c>
      <c r="D52" s="161">
        <v>89722</v>
      </c>
      <c r="E52" s="161">
        <f>C52*D52</f>
        <v>1076664</v>
      </c>
      <c r="F52" s="163">
        <v>0</v>
      </c>
      <c r="G52" s="163">
        <v>0</v>
      </c>
      <c r="H52" s="163">
        <v>0</v>
      </c>
      <c r="I52" s="163">
        <v>0</v>
      </c>
      <c r="J52" s="163">
        <v>1</v>
      </c>
      <c r="K52" s="163">
        <v>1</v>
      </c>
      <c r="L52" s="163">
        <v>1</v>
      </c>
      <c r="M52" s="218"/>
      <c r="N52" s="164"/>
      <c r="O52" s="13"/>
      <c r="P52" s="13"/>
      <c r="Q52" s="13"/>
      <c r="R52" s="13"/>
    </row>
    <row r="53" spans="1:19" ht="16.5" x14ac:dyDescent="0.25">
      <c r="A53" s="149"/>
      <c r="B53" s="147" t="s">
        <v>46</v>
      </c>
      <c r="C53" s="160">
        <v>3</v>
      </c>
      <c r="D53" s="161">
        <v>119630</v>
      </c>
      <c r="E53" s="161">
        <f>C53*D53</f>
        <v>358890</v>
      </c>
      <c r="F53" s="163">
        <v>0</v>
      </c>
      <c r="G53" s="163">
        <v>0</v>
      </c>
      <c r="H53" s="163">
        <v>0</v>
      </c>
      <c r="I53" s="163">
        <v>0</v>
      </c>
      <c r="J53" s="163">
        <v>0</v>
      </c>
      <c r="K53" s="163">
        <v>0</v>
      </c>
      <c r="L53" s="253">
        <v>1</v>
      </c>
      <c r="M53" s="253">
        <f t="shared" ref="M53" si="7">L53-K53</f>
        <v>1</v>
      </c>
      <c r="N53" s="164">
        <f>E53*L53</f>
        <v>358890</v>
      </c>
      <c r="O53" s="13"/>
      <c r="P53" s="13"/>
      <c r="Q53" s="13"/>
      <c r="R53" s="13"/>
    </row>
    <row r="54" spans="1:19" ht="16.5" x14ac:dyDescent="0.25">
      <c r="A54" s="149"/>
      <c r="B54" s="147" t="s">
        <v>47</v>
      </c>
      <c r="C54" s="160">
        <v>2</v>
      </c>
      <c r="D54" s="161">
        <v>193800</v>
      </c>
      <c r="E54" s="161">
        <f>C54*D54</f>
        <v>387600</v>
      </c>
      <c r="F54" s="163">
        <v>1</v>
      </c>
      <c r="G54" s="163">
        <v>1</v>
      </c>
      <c r="H54" s="163">
        <v>1</v>
      </c>
      <c r="I54" s="163">
        <v>1</v>
      </c>
      <c r="J54" s="163">
        <v>1</v>
      </c>
      <c r="K54" s="163">
        <v>1</v>
      </c>
      <c r="L54" s="163">
        <v>1</v>
      </c>
      <c r="M54" s="218"/>
      <c r="N54" s="164"/>
      <c r="O54" s="11"/>
      <c r="P54" s="11"/>
      <c r="Q54" s="11"/>
      <c r="R54" s="11"/>
    </row>
    <row r="55" spans="1:19" ht="16.5" x14ac:dyDescent="0.25">
      <c r="A55" s="149"/>
      <c r="B55" s="147" t="s">
        <v>48</v>
      </c>
      <c r="C55" s="160">
        <v>3</v>
      </c>
      <c r="D55" s="161">
        <v>119630</v>
      </c>
      <c r="E55" s="161">
        <f>C55*D55</f>
        <v>358890</v>
      </c>
      <c r="F55" s="163">
        <v>1</v>
      </c>
      <c r="G55" s="163">
        <v>1</v>
      </c>
      <c r="H55" s="163">
        <v>1</v>
      </c>
      <c r="I55" s="163">
        <v>1</v>
      </c>
      <c r="J55" s="163">
        <v>1</v>
      </c>
      <c r="K55" s="163">
        <v>1</v>
      </c>
      <c r="L55" s="163">
        <v>1</v>
      </c>
      <c r="M55" s="218"/>
      <c r="N55" s="164"/>
      <c r="O55" s="13"/>
      <c r="P55" s="13"/>
      <c r="Q55" s="13"/>
      <c r="R55" s="13"/>
      <c r="S55" s="16"/>
    </row>
    <row r="56" spans="1:19" ht="16.5" x14ac:dyDescent="0.25">
      <c r="A56" s="149"/>
      <c r="B56" s="147" t="s">
        <v>49</v>
      </c>
      <c r="C56" s="160">
        <v>2</v>
      </c>
      <c r="D56" s="161">
        <v>209352</v>
      </c>
      <c r="E56" s="161">
        <f>C56*D56</f>
        <v>418704</v>
      </c>
      <c r="F56" s="163">
        <v>1</v>
      </c>
      <c r="G56" s="163">
        <v>1</v>
      </c>
      <c r="H56" s="163">
        <v>1</v>
      </c>
      <c r="I56" s="163">
        <v>1</v>
      </c>
      <c r="J56" s="163">
        <v>1</v>
      </c>
      <c r="K56" s="163">
        <v>1</v>
      </c>
      <c r="L56" s="163">
        <v>1</v>
      </c>
      <c r="M56" s="218" t="s">
        <v>190</v>
      </c>
      <c r="N56" s="164"/>
      <c r="O56" s="13"/>
      <c r="P56" s="13"/>
      <c r="Q56" s="13"/>
      <c r="R56" s="13"/>
      <c r="S56" s="16"/>
    </row>
    <row r="57" spans="1:19" ht="16.5" x14ac:dyDescent="0.25">
      <c r="A57" s="149"/>
      <c r="B57" s="246" t="s">
        <v>50</v>
      </c>
      <c r="C57" s="246"/>
      <c r="D57" s="246"/>
      <c r="E57" s="172">
        <f>SUM(E52:E56)</f>
        <v>2600748</v>
      </c>
      <c r="F57" s="166"/>
      <c r="G57" s="166"/>
      <c r="H57" s="167">
        <v>0</v>
      </c>
      <c r="I57" s="167"/>
      <c r="J57" s="167"/>
      <c r="K57" s="167"/>
      <c r="L57" s="166">
        <f>N57/E57</f>
        <v>0</v>
      </c>
      <c r="M57" s="219"/>
      <c r="N57" s="167"/>
      <c r="O57" s="17"/>
      <c r="P57" s="17"/>
      <c r="Q57" s="17"/>
      <c r="R57" s="17"/>
      <c r="S57" s="16"/>
    </row>
    <row r="58" spans="1:19" ht="16.5" x14ac:dyDescent="0.25">
      <c r="A58" s="149" t="s">
        <v>135</v>
      </c>
      <c r="B58" s="148" t="s">
        <v>134</v>
      </c>
      <c r="C58" s="160"/>
      <c r="D58" s="161"/>
      <c r="E58" s="161"/>
      <c r="F58" s="169"/>
      <c r="G58" s="169"/>
      <c r="H58" s="160"/>
      <c r="I58" s="160"/>
      <c r="J58" s="160"/>
      <c r="K58" s="160"/>
      <c r="L58" s="147"/>
      <c r="M58" s="220"/>
      <c r="N58" s="147"/>
      <c r="O58" s="18"/>
      <c r="P58" s="18"/>
      <c r="Q58" s="18"/>
      <c r="R58" s="18"/>
      <c r="S58" s="16"/>
    </row>
    <row r="59" spans="1:19" ht="16.5" x14ac:dyDescent="0.25">
      <c r="A59" s="149"/>
      <c r="B59" s="147" t="s">
        <v>52</v>
      </c>
      <c r="C59" s="160">
        <v>2</v>
      </c>
      <c r="D59" s="161">
        <v>412722</v>
      </c>
      <c r="E59" s="161">
        <f>C59*D59</f>
        <v>825444</v>
      </c>
      <c r="F59" s="163">
        <v>1</v>
      </c>
      <c r="G59" s="163">
        <v>1</v>
      </c>
      <c r="H59" s="163">
        <v>1</v>
      </c>
      <c r="I59" s="163">
        <v>1</v>
      </c>
      <c r="J59" s="163">
        <v>1</v>
      </c>
      <c r="K59" s="163">
        <v>1</v>
      </c>
      <c r="L59" s="163">
        <v>1</v>
      </c>
      <c r="M59" s="218"/>
      <c r="N59" s="164"/>
      <c r="O59" s="13"/>
      <c r="P59" s="13"/>
      <c r="Q59" s="13"/>
      <c r="R59" s="13"/>
      <c r="S59" s="16"/>
    </row>
    <row r="60" spans="1:19" ht="16.5" x14ac:dyDescent="0.25">
      <c r="A60" s="149"/>
      <c r="B60" s="147" t="s">
        <v>53</v>
      </c>
      <c r="C60" s="160">
        <v>1</v>
      </c>
      <c r="D60" s="161">
        <v>583793</v>
      </c>
      <c r="E60" s="161">
        <f>C60*D60</f>
        <v>583793</v>
      </c>
      <c r="F60" s="163">
        <v>1</v>
      </c>
      <c r="G60" s="163">
        <v>1</v>
      </c>
      <c r="H60" s="163">
        <v>1</v>
      </c>
      <c r="I60" s="163">
        <v>1</v>
      </c>
      <c r="J60" s="163">
        <v>1</v>
      </c>
      <c r="K60" s="163">
        <v>1</v>
      </c>
      <c r="L60" s="163">
        <v>1</v>
      </c>
      <c r="M60" s="218"/>
      <c r="N60" s="164"/>
      <c r="O60" s="13"/>
      <c r="P60" s="13"/>
      <c r="Q60" s="13"/>
      <c r="R60" s="13"/>
      <c r="S60" s="16"/>
    </row>
    <row r="61" spans="1:19" ht="16.5" x14ac:dyDescent="0.25">
      <c r="A61" s="149"/>
      <c r="B61" s="147" t="s">
        <v>164</v>
      </c>
      <c r="C61" s="160">
        <v>10</v>
      </c>
      <c r="D61" s="161">
        <v>67083</v>
      </c>
      <c r="E61" s="161">
        <f>C61*D61</f>
        <v>670830</v>
      </c>
      <c r="F61" s="163">
        <v>0.99999552794808844</v>
      </c>
      <c r="G61" s="163">
        <v>0.99999552794808844</v>
      </c>
      <c r="H61" s="163">
        <v>1</v>
      </c>
      <c r="I61" s="163">
        <v>1</v>
      </c>
      <c r="J61" s="163">
        <v>1</v>
      </c>
      <c r="K61" s="163">
        <v>1</v>
      </c>
      <c r="L61" s="163">
        <v>1</v>
      </c>
      <c r="M61" s="218"/>
      <c r="N61" s="164"/>
      <c r="O61" s="13"/>
      <c r="P61" s="13"/>
      <c r="Q61" s="13"/>
      <c r="R61" s="13"/>
      <c r="S61" s="16"/>
    </row>
    <row r="62" spans="1:19" ht="16.5" x14ac:dyDescent="0.25">
      <c r="A62" s="149"/>
      <c r="B62" s="147" t="s">
        <v>55</v>
      </c>
      <c r="C62" s="160">
        <v>8</v>
      </c>
      <c r="D62" s="161">
        <v>78333</v>
      </c>
      <c r="E62" s="161">
        <f>C62*D62</f>
        <v>626664</v>
      </c>
      <c r="F62" s="163">
        <v>0.99999521276850389</v>
      </c>
      <c r="G62" s="163">
        <v>0.99999521276850389</v>
      </c>
      <c r="H62" s="163">
        <v>1</v>
      </c>
      <c r="I62" s="163">
        <v>1</v>
      </c>
      <c r="J62" s="163">
        <v>1</v>
      </c>
      <c r="K62" s="163">
        <v>1</v>
      </c>
      <c r="L62" s="163">
        <v>1</v>
      </c>
      <c r="M62" s="218"/>
      <c r="N62" s="164"/>
      <c r="O62" s="13"/>
      <c r="P62" s="13"/>
      <c r="Q62" s="13"/>
      <c r="R62" s="13"/>
      <c r="S62" s="16"/>
    </row>
    <row r="63" spans="1:19" ht="16.5" x14ac:dyDescent="0.25">
      <c r="A63" s="149"/>
      <c r="B63" s="147" t="s">
        <v>56</v>
      </c>
      <c r="C63" s="160">
        <v>1</v>
      </c>
      <c r="D63" s="161">
        <v>6447074</v>
      </c>
      <c r="E63" s="161">
        <f>C63*D63</f>
        <v>6447074</v>
      </c>
      <c r="F63" s="163">
        <v>1</v>
      </c>
      <c r="G63" s="163">
        <v>1</v>
      </c>
      <c r="H63" s="163">
        <v>1</v>
      </c>
      <c r="I63" s="163">
        <v>1</v>
      </c>
      <c r="J63" s="163">
        <v>1</v>
      </c>
      <c r="K63" s="163">
        <v>1</v>
      </c>
      <c r="L63" s="163">
        <v>1</v>
      </c>
      <c r="M63" s="218"/>
      <c r="N63" s="164"/>
      <c r="O63" s="13"/>
      <c r="P63" s="13"/>
      <c r="Q63" s="13"/>
      <c r="R63" s="13"/>
      <c r="S63" s="16"/>
    </row>
    <row r="64" spans="1:19" s="16" customFormat="1" ht="16.5" x14ac:dyDescent="0.25">
      <c r="A64" s="149"/>
      <c r="B64" s="246" t="s">
        <v>57</v>
      </c>
      <c r="C64" s="246"/>
      <c r="D64" s="246"/>
      <c r="E64" s="172">
        <f>SUM(E59:E63)</f>
        <v>9153805</v>
      </c>
      <c r="F64" s="166"/>
      <c r="G64" s="166"/>
      <c r="H64" s="167">
        <v>0</v>
      </c>
      <c r="I64" s="167"/>
      <c r="J64" s="167"/>
      <c r="K64" s="167"/>
      <c r="L64" s="166">
        <f>N64/E64</f>
        <v>0</v>
      </c>
      <c r="M64" s="219"/>
      <c r="N64" s="167"/>
      <c r="O64" s="17"/>
      <c r="P64" s="17"/>
      <c r="Q64" s="17"/>
      <c r="R64" s="17"/>
    </row>
    <row r="65" spans="1:19" ht="16.5" x14ac:dyDescent="0.25">
      <c r="A65" s="149" t="s">
        <v>136</v>
      </c>
      <c r="B65" s="148" t="s">
        <v>173</v>
      </c>
      <c r="C65" s="160"/>
      <c r="D65" s="161"/>
      <c r="E65" s="161"/>
      <c r="F65" s="169"/>
      <c r="G65" s="169"/>
      <c r="H65" s="160"/>
      <c r="I65" s="160"/>
      <c r="J65" s="160"/>
      <c r="K65" s="160"/>
      <c r="L65" s="147"/>
      <c r="M65" s="220"/>
      <c r="N65" s="147"/>
      <c r="O65" s="18"/>
      <c r="P65" s="18"/>
      <c r="Q65" s="18"/>
      <c r="R65" s="18"/>
      <c r="S65" s="16"/>
    </row>
    <row r="66" spans="1:19" ht="16.5" x14ac:dyDescent="0.25">
      <c r="A66" s="149"/>
      <c r="B66" s="147" t="s">
        <v>165</v>
      </c>
      <c r="C66" s="160">
        <v>16</v>
      </c>
      <c r="D66" s="161">
        <v>74170</v>
      </c>
      <c r="E66" s="161">
        <f>C66*D66</f>
        <v>1186720</v>
      </c>
      <c r="F66" s="163">
        <v>0</v>
      </c>
      <c r="G66" s="163">
        <v>0</v>
      </c>
      <c r="H66" s="163">
        <v>0</v>
      </c>
      <c r="I66" s="163">
        <v>0</v>
      </c>
      <c r="J66" s="163">
        <v>0</v>
      </c>
      <c r="K66" s="163">
        <v>0</v>
      </c>
      <c r="L66" s="253">
        <v>1</v>
      </c>
      <c r="M66" s="253">
        <f>L66-K66</f>
        <v>1</v>
      </c>
      <c r="N66" s="164">
        <f>E66*L66</f>
        <v>1186720</v>
      </c>
      <c r="O66" s="13"/>
      <c r="P66" s="13"/>
      <c r="Q66" s="13"/>
      <c r="R66" s="13"/>
      <c r="S66" s="16"/>
    </row>
    <row r="67" spans="1:19" ht="16.5" x14ac:dyDescent="0.25">
      <c r="A67" s="149"/>
      <c r="B67" s="147" t="s">
        <v>58</v>
      </c>
      <c r="C67" s="160">
        <v>6</v>
      </c>
      <c r="D67" s="161">
        <v>227296</v>
      </c>
      <c r="E67" s="161">
        <f>C67*D67</f>
        <v>1363776</v>
      </c>
      <c r="F67" s="163">
        <v>0</v>
      </c>
      <c r="G67" s="163">
        <v>0</v>
      </c>
      <c r="H67" s="163">
        <v>0</v>
      </c>
      <c r="I67" s="163">
        <v>0</v>
      </c>
      <c r="J67" s="163">
        <v>0.99999853348565526</v>
      </c>
      <c r="K67" s="163">
        <v>0.99999853348565526</v>
      </c>
      <c r="L67" s="163">
        <v>1</v>
      </c>
      <c r="M67" s="218"/>
      <c r="N67" s="164"/>
      <c r="O67" s="13"/>
      <c r="P67" s="13"/>
      <c r="Q67" s="13"/>
      <c r="R67" s="13"/>
      <c r="S67" s="16"/>
    </row>
    <row r="68" spans="1:19" s="16" customFormat="1" ht="16.5" x14ac:dyDescent="0.25">
      <c r="A68" s="149"/>
      <c r="B68" s="246" t="s">
        <v>59</v>
      </c>
      <c r="C68" s="246"/>
      <c r="D68" s="246"/>
      <c r="E68" s="172">
        <f>SUM(E66:E67)</f>
        <v>2550496</v>
      </c>
      <c r="F68" s="166"/>
      <c r="G68" s="166"/>
      <c r="H68" s="167">
        <v>0</v>
      </c>
      <c r="I68" s="167"/>
      <c r="J68" s="167"/>
      <c r="K68" s="167"/>
      <c r="L68" s="166">
        <f>N68/E68</f>
        <v>0.46528988871184274</v>
      </c>
      <c r="M68" s="219"/>
      <c r="N68" s="168">
        <f>SUM(N66:N67)</f>
        <v>1186720</v>
      </c>
      <c r="O68" s="17"/>
      <c r="P68" s="17"/>
      <c r="Q68" s="17"/>
      <c r="R68" s="17"/>
    </row>
    <row r="69" spans="1:19" ht="16.5" x14ac:dyDescent="0.25">
      <c r="A69" s="149" t="s">
        <v>138</v>
      </c>
      <c r="B69" s="148" t="s">
        <v>137</v>
      </c>
      <c r="C69" s="160"/>
      <c r="D69" s="161"/>
      <c r="E69" s="161"/>
      <c r="F69" s="169"/>
      <c r="G69" s="169"/>
      <c r="H69" s="160"/>
      <c r="I69" s="160"/>
      <c r="J69" s="160"/>
      <c r="K69" s="160"/>
      <c r="L69" s="147"/>
      <c r="M69" s="220"/>
      <c r="N69" s="147"/>
      <c r="O69" s="18"/>
      <c r="P69" s="18"/>
      <c r="Q69" s="18"/>
      <c r="R69" s="18"/>
      <c r="S69" s="16"/>
    </row>
    <row r="70" spans="1:19" ht="16.5" x14ac:dyDescent="0.25">
      <c r="A70" s="149"/>
      <c r="B70" s="147" t="s">
        <v>166</v>
      </c>
      <c r="C70" s="160">
        <v>6</v>
      </c>
      <c r="D70" s="161">
        <v>133656</v>
      </c>
      <c r="E70" s="161">
        <f>C70*D70</f>
        <v>801936</v>
      </c>
      <c r="F70" s="163">
        <v>1</v>
      </c>
      <c r="G70" s="163">
        <v>1</v>
      </c>
      <c r="H70" s="163">
        <v>1</v>
      </c>
      <c r="I70" s="163">
        <v>1</v>
      </c>
      <c r="J70" s="163">
        <v>1</v>
      </c>
      <c r="K70" s="163">
        <v>1</v>
      </c>
      <c r="L70" s="163">
        <v>1</v>
      </c>
      <c r="M70" s="218"/>
      <c r="N70" s="164"/>
      <c r="O70" s="13"/>
      <c r="P70" s="13"/>
      <c r="Q70" s="13"/>
      <c r="R70" s="13"/>
      <c r="S70" s="16"/>
    </row>
    <row r="71" spans="1:19" ht="16.5" x14ac:dyDescent="0.25">
      <c r="A71" s="149"/>
      <c r="B71" s="179" t="s">
        <v>61</v>
      </c>
      <c r="C71" s="160">
        <v>2</v>
      </c>
      <c r="D71" s="161">
        <v>466556</v>
      </c>
      <c r="E71" s="161">
        <f>C71*D71</f>
        <v>933112</v>
      </c>
      <c r="F71" s="163">
        <v>1</v>
      </c>
      <c r="G71" s="163">
        <v>1</v>
      </c>
      <c r="H71" s="163">
        <v>1</v>
      </c>
      <c r="I71" s="163">
        <v>1</v>
      </c>
      <c r="J71" s="163">
        <v>1</v>
      </c>
      <c r="K71" s="163">
        <v>1</v>
      </c>
      <c r="L71" s="163">
        <v>1</v>
      </c>
      <c r="M71" s="218"/>
      <c r="N71" s="164"/>
      <c r="O71" s="13"/>
      <c r="P71" s="13"/>
      <c r="Q71" s="13"/>
      <c r="R71" s="13"/>
      <c r="S71" s="16"/>
    </row>
    <row r="72" spans="1:19" ht="16.5" x14ac:dyDescent="0.25">
      <c r="A72" s="149"/>
      <c r="B72" s="246" t="s">
        <v>62</v>
      </c>
      <c r="C72" s="246"/>
      <c r="D72" s="246"/>
      <c r="E72" s="172">
        <f>SUM(E70:E71)</f>
        <v>1735048</v>
      </c>
      <c r="F72" s="166"/>
      <c r="G72" s="166"/>
      <c r="H72" s="167">
        <v>0</v>
      </c>
      <c r="I72" s="167"/>
      <c r="J72" s="167"/>
      <c r="K72" s="167"/>
      <c r="L72" s="166">
        <f>N72/E72</f>
        <v>0</v>
      </c>
      <c r="M72" s="219"/>
      <c r="N72" s="167"/>
      <c r="O72" s="17"/>
      <c r="P72" s="17"/>
      <c r="Q72" s="17"/>
      <c r="R72" s="17"/>
      <c r="S72" s="16"/>
    </row>
    <row r="73" spans="1:19" ht="16.5" x14ac:dyDescent="0.25">
      <c r="A73" s="149" t="s">
        <v>140</v>
      </c>
      <c r="B73" s="248" t="s">
        <v>139</v>
      </c>
      <c r="C73" s="160"/>
      <c r="D73" s="161"/>
      <c r="E73" s="161"/>
      <c r="F73" s="169"/>
      <c r="G73" s="169"/>
      <c r="H73" s="160"/>
      <c r="I73" s="160"/>
      <c r="J73" s="160"/>
      <c r="K73" s="160"/>
      <c r="L73" s="147"/>
      <c r="M73" s="220"/>
      <c r="N73" s="147"/>
      <c r="O73" s="18"/>
      <c r="P73" s="18"/>
      <c r="Q73" s="18"/>
      <c r="R73" s="18"/>
      <c r="S73" s="16"/>
    </row>
    <row r="74" spans="1:19" ht="16.5" x14ac:dyDescent="0.25">
      <c r="A74" s="149"/>
      <c r="B74" s="179" t="s">
        <v>95</v>
      </c>
      <c r="C74" s="160">
        <v>3</v>
      </c>
      <c r="D74" s="161">
        <v>171070</v>
      </c>
      <c r="E74" s="161">
        <f>C74*D74</f>
        <v>513210</v>
      </c>
      <c r="F74" s="163">
        <v>1</v>
      </c>
      <c r="G74" s="163">
        <v>1</v>
      </c>
      <c r="H74" s="163">
        <v>1</v>
      </c>
      <c r="I74" s="163">
        <v>1</v>
      </c>
      <c r="J74" s="163">
        <v>1</v>
      </c>
      <c r="K74" s="163">
        <v>1</v>
      </c>
      <c r="L74" s="163">
        <v>1</v>
      </c>
      <c r="M74" s="218"/>
      <c r="N74" s="164"/>
      <c r="O74" s="13"/>
      <c r="P74" s="13"/>
      <c r="Q74" s="13"/>
      <c r="R74" s="13"/>
      <c r="S74" s="16"/>
    </row>
    <row r="75" spans="1:19" ht="16.5" x14ac:dyDescent="0.25">
      <c r="A75" s="149"/>
      <c r="B75" s="179" t="s">
        <v>97</v>
      </c>
      <c r="C75" s="160">
        <v>1</v>
      </c>
      <c r="D75" s="161">
        <v>215333</v>
      </c>
      <c r="E75" s="161">
        <f>C75*D75</f>
        <v>215333</v>
      </c>
      <c r="F75" s="163">
        <v>0</v>
      </c>
      <c r="G75" s="163">
        <v>0</v>
      </c>
      <c r="H75" s="163">
        <v>0</v>
      </c>
      <c r="I75" s="163">
        <v>0</v>
      </c>
      <c r="J75" s="163">
        <v>1</v>
      </c>
      <c r="K75" s="163">
        <v>1</v>
      </c>
      <c r="L75" s="163">
        <v>1</v>
      </c>
      <c r="M75" s="218"/>
      <c r="N75" s="164"/>
      <c r="O75" s="13"/>
      <c r="P75" s="13"/>
      <c r="Q75" s="13"/>
      <c r="R75" s="13"/>
      <c r="S75" s="16"/>
    </row>
    <row r="76" spans="1:19" ht="16.5" x14ac:dyDescent="0.25">
      <c r="A76" s="149"/>
      <c r="B76" s="179" t="s">
        <v>64</v>
      </c>
      <c r="C76" s="160">
        <v>40</v>
      </c>
      <c r="D76" s="161">
        <v>35291</v>
      </c>
      <c r="E76" s="161">
        <f>C76*D76</f>
        <v>1411640</v>
      </c>
      <c r="F76" s="163">
        <v>0</v>
      </c>
      <c r="G76" s="163">
        <v>0</v>
      </c>
      <c r="H76" s="163">
        <v>0</v>
      </c>
      <c r="I76" s="163">
        <v>0</v>
      </c>
      <c r="J76" s="163">
        <v>1.0000070840092659</v>
      </c>
      <c r="K76" s="163">
        <v>1</v>
      </c>
      <c r="L76" s="163">
        <v>1</v>
      </c>
      <c r="M76" s="218"/>
      <c r="N76" s="164">
        <v>0</v>
      </c>
      <c r="O76" s="13"/>
      <c r="P76" s="13"/>
      <c r="Q76" s="13"/>
      <c r="R76" s="13"/>
      <c r="S76" s="16"/>
    </row>
    <row r="77" spans="1:19" ht="16.5" x14ac:dyDescent="0.25">
      <c r="A77" s="149"/>
      <c r="B77" s="179" t="s">
        <v>96</v>
      </c>
      <c r="C77" s="160">
        <v>50</v>
      </c>
      <c r="D77" s="161">
        <v>23926</v>
      </c>
      <c r="E77" s="161">
        <f>C77*D77</f>
        <v>1196300</v>
      </c>
      <c r="F77" s="163">
        <v>0</v>
      </c>
      <c r="G77" s="163">
        <v>0</v>
      </c>
      <c r="H77" s="163">
        <v>0</v>
      </c>
      <c r="I77" s="163">
        <v>0</v>
      </c>
      <c r="J77" s="163">
        <v>0</v>
      </c>
      <c r="K77" s="163">
        <v>0</v>
      </c>
      <c r="L77" s="163">
        <v>1</v>
      </c>
      <c r="M77" s="253">
        <f t="shared" ref="M77" si="8">L77-K77</f>
        <v>1</v>
      </c>
      <c r="N77" s="164">
        <f>L77*E77</f>
        <v>1196300</v>
      </c>
      <c r="O77" s="13"/>
      <c r="P77" s="13"/>
      <c r="Q77" s="13"/>
      <c r="R77" s="13"/>
      <c r="S77" s="16"/>
    </row>
    <row r="78" spans="1:19" ht="16.5" x14ac:dyDescent="0.25">
      <c r="A78" s="149"/>
      <c r="B78" s="179" t="s">
        <v>65</v>
      </c>
      <c r="C78" s="160">
        <v>18</v>
      </c>
      <c r="D78" s="161">
        <v>118433</v>
      </c>
      <c r="E78" s="161">
        <f>C78*D78</f>
        <v>2131794</v>
      </c>
      <c r="F78" s="163">
        <v>0</v>
      </c>
      <c r="G78" s="163">
        <v>0</v>
      </c>
      <c r="H78" s="163">
        <v>0</v>
      </c>
      <c r="I78" s="163">
        <v>0</v>
      </c>
      <c r="J78" s="163">
        <v>0.99999718547706162</v>
      </c>
      <c r="K78" s="163">
        <v>1</v>
      </c>
      <c r="L78" s="163">
        <v>1</v>
      </c>
      <c r="M78" s="218"/>
      <c r="N78" s="164"/>
      <c r="O78" s="13"/>
      <c r="P78" s="13"/>
      <c r="Q78" s="13"/>
      <c r="R78" s="13"/>
      <c r="S78" s="16"/>
    </row>
    <row r="79" spans="1:19" s="16" customFormat="1" ht="16.5" x14ac:dyDescent="0.25">
      <c r="A79" s="149"/>
      <c r="B79" s="246" t="s">
        <v>66</v>
      </c>
      <c r="C79" s="246"/>
      <c r="D79" s="246"/>
      <c r="E79" s="172">
        <f>SUM(E74:E78)</f>
        <v>5468277</v>
      </c>
      <c r="F79" s="166"/>
      <c r="G79" s="166"/>
      <c r="H79" s="167">
        <v>0</v>
      </c>
      <c r="I79" s="167"/>
      <c r="J79" s="167"/>
      <c r="K79" s="167"/>
      <c r="L79" s="166">
        <f>N79/E79</f>
        <v>0</v>
      </c>
      <c r="M79" s="219"/>
      <c r="N79" s="167"/>
      <c r="O79" s="17"/>
      <c r="P79" s="17"/>
      <c r="Q79" s="17"/>
      <c r="R79" s="17"/>
    </row>
    <row r="80" spans="1:19" ht="16.5" x14ac:dyDescent="0.25">
      <c r="A80" s="149"/>
      <c r="B80" s="246" t="s">
        <v>67</v>
      </c>
      <c r="C80" s="246"/>
      <c r="D80" s="246"/>
      <c r="E80" s="246"/>
      <c r="F80" s="169"/>
      <c r="G80" s="169"/>
      <c r="H80" s="160"/>
      <c r="I80" s="160"/>
      <c r="J80" s="160"/>
      <c r="K80" s="160"/>
      <c r="L80" s="147"/>
      <c r="M80" s="220"/>
      <c r="N80" s="147"/>
      <c r="O80" s="18"/>
      <c r="P80" s="18"/>
      <c r="Q80" s="18"/>
      <c r="R80" s="18"/>
      <c r="S80" s="16"/>
    </row>
    <row r="81" spans="1:19" ht="16.5" x14ac:dyDescent="0.25">
      <c r="A81" s="149"/>
      <c r="B81" s="147"/>
      <c r="C81" s="160"/>
      <c r="D81" s="161"/>
      <c r="E81" s="161"/>
      <c r="F81" s="169"/>
      <c r="G81" s="169"/>
      <c r="H81" s="160"/>
      <c r="I81" s="160"/>
      <c r="J81" s="160"/>
      <c r="K81" s="160"/>
      <c r="L81" s="147"/>
      <c r="M81" s="220"/>
      <c r="N81" s="147"/>
      <c r="O81" s="18"/>
      <c r="P81" s="18"/>
      <c r="Q81" s="18"/>
      <c r="R81" s="18"/>
      <c r="S81" s="16"/>
    </row>
    <row r="82" spans="1:19" ht="16.5" x14ac:dyDescent="0.25">
      <c r="A82" s="149" t="s">
        <v>142</v>
      </c>
      <c r="B82" s="352" t="s">
        <v>141</v>
      </c>
      <c r="C82" s="352"/>
      <c r="D82" s="352"/>
      <c r="E82" s="248"/>
      <c r="F82" s="169"/>
      <c r="G82" s="169"/>
      <c r="H82" s="160"/>
      <c r="I82" s="160"/>
      <c r="J82" s="160"/>
      <c r="K82" s="160"/>
      <c r="L82" s="147"/>
      <c r="M82" s="220"/>
      <c r="N82" s="147"/>
      <c r="O82" s="18"/>
      <c r="P82" s="18"/>
      <c r="Q82" s="18"/>
      <c r="R82" s="18"/>
      <c r="S82" s="16"/>
    </row>
    <row r="83" spans="1:19" ht="16.5" x14ac:dyDescent="0.25">
      <c r="A83" s="149"/>
      <c r="B83" s="147" t="s">
        <v>69</v>
      </c>
      <c r="C83" s="160">
        <v>12</v>
      </c>
      <c r="D83" s="161">
        <v>95704</v>
      </c>
      <c r="E83" s="161">
        <f>C83*D83</f>
        <v>1148448</v>
      </c>
      <c r="F83" s="163">
        <v>1</v>
      </c>
      <c r="G83" s="163">
        <v>1</v>
      </c>
      <c r="H83" s="163">
        <v>1</v>
      </c>
      <c r="I83" s="163">
        <v>1</v>
      </c>
      <c r="J83" s="163">
        <v>1</v>
      </c>
      <c r="K83" s="163">
        <v>1</v>
      </c>
      <c r="L83" s="163">
        <v>1</v>
      </c>
      <c r="M83" s="218"/>
      <c r="N83" s="164"/>
      <c r="O83" s="13"/>
      <c r="P83" s="13"/>
      <c r="Q83" s="13"/>
      <c r="R83" s="13"/>
      <c r="S83" s="16"/>
    </row>
    <row r="84" spans="1:19" s="16" customFormat="1" ht="16.5" x14ac:dyDescent="0.25">
      <c r="A84" s="149"/>
      <c r="B84" s="147" t="s">
        <v>172</v>
      </c>
      <c r="C84" s="160">
        <v>36</v>
      </c>
      <c r="D84" s="161">
        <v>47852</v>
      </c>
      <c r="E84" s="161">
        <f>C84*D84</f>
        <v>1722672</v>
      </c>
      <c r="F84" s="163">
        <v>1</v>
      </c>
      <c r="G84" s="163">
        <v>1</v>
      </c>
      <c r="H84" s="163">
        <v>1</v>
      </c>
      <c r="I84" s="163">
        <v>1</v>
      </c>
      <c r="J84" s="163">
        <v>1</v>
      </c>
      <c r="K84" s="163">
        <v>1</v>
      </c>
      <c r="L84" s="163">
        <v>1</v>
      </c>
      <c r="M84" s="218"/>
      <c r="N84" s="164"/>
      <c r="O84" s="13"/>
      <c r="P84" s="13"/>
      <c r="Q84" s="13"/>
      <c r="R84" s="13"/>
    </row>
    <row r="85" spans="1:19" s="16" customFormat="1" ht="16.5" x14ac:dyDescent="0.25">
      <c r="A85" s="149"/>
      <c r="B85" s="246" t="s">
        <v>70</v>
      </c>
      <c r="C85" s="180"/>
      <c r="D85" s="180"/>
      <c r="E85" s="181">
        <f>SUM(E83:E84)</f>
        <v>2871120</v>
      </c>
      <c r="F85" s="163"/>
      <c r="G85" s="163"/>
      <c r="H85" s="182">
        <v>0</v>
      </c>
      <c r="I85" s="182"/>
      <c r="J85" s="182"/>
      <c r="K85" s="182"/>
      <c r="L85" s="166">
        <f>N85/E85</f>
        <v>0</v>
      </c>
      <c r="M85" s="219"/>
      <c r="N85" s="167"/>
      <c r="O85" s="13"/>
      <c r="P85" s="13"/>
      <c r="Q85" s="13"/>
      <c r="R85" s="13"/>
    </row>
    <row r="86" spans="1:19" s="16" customFormat="1" ht="33" x14ac:dyDescent="0.25">
      <c r="A86" s="149"/>
      <c r="B86" s="183" t="s">
        <v>148</v>
      </c>
      <c r="C86" s="160"/>
      <c r="D86" s="161"/>
      <c r="E86" s="165">
        <f>E85+E79+E72+E68+E64+E57+E49+E43+E28+E23+E19+E9</f>
        <v>161577077</v>
      </c>
      <c r="F86" s="163"/>
      <c r="G86" s="163"/>
      <c r="H86" s="184">
        <v>8.1885260246442979E-2</v>
      </c>
      <c r="I86" s="184"/>
      <c r="J86" s="184"/>
      <c r="K86" s="184"/>
      <c r="L86" s="185">
        <f>N86/E86</f>
        <v>5.2563792820685823E-2</v>
      </c>
      <c r="M86" s="222"/>
      <c r="N86" s="186">
        <f>N77+N66+N53+N26+N25+N16+N14+N18</f>
        <v>8493104</v>
      </c>
      <c r="O86" s="14"/>
      <c r="P86" s="14"/>
      <c r="Q86" s="14"/>
      <c r="R86" s="14"/>
    </row>
    <row r="87" spans="1:19" s="16" customFormat="1" ht="29.25" customHeight="1" x14ac:dyDescent="0.25">
      <c r="A87" s="149"/>
      <c r="B87" s="145" t="s">
        <v>187</v>
      </c>
      <c r="C87" s="160">
        <v>1</v>
      </c>
      <c r="D87" s="187">
        <v>56551979</v>
      </c>
      <c r="E87" s="165">
        <v>56551979</v>
      </c>
      <c r="F87" s="163" t="e">
        <f>#REF!</f>
        <v>#REF!</v>
      </c>
      <c r="G87" s="163">
        <v>0.22604131324917912</v>
      </c>
      <c r="H87" s="188">
        <v>8.1885282034073498E-2</v>
      </c>
      <c r="I87" s="163">
        <v>0.31</v>
      </c>
      <c r="J87" s="163">
        <v>0.39110803885395418</v>
      </c>
      <c r="K87" s="163">
        <v>0.94743611713393794</v>
      </c>
      <c r="L87" s="254">
        <v>1</v>
      </c>
      <c r="M87" s="254">
        <f>L87-K87</f>
        <v>5.2563882866062062E-2</v>
      </c>
      <c r="N87" s="186">
        <f>N86*0.35</f>
        <v>2972586.4</v>
      </c>
      <c r="O87" s="14"/>
      <c r="P87" s="14"/>
      <c r="Q87" s="14"/>
      <c r="R87" s="14"/>
    </row>
    <row r="88" spans="1:19" ht="16.5" x14ac:dyDescent="0.25">
      <c r="A88" s="149" t="s">
        <v>144</v>
      </c>
      <c r="B88" s="148" t="s">
        <v>143</v>
      </c>
      <c r="C88" s="160"/>
      <c r="D88" s="161"/>
      <c r="E88" s="161"/>
      <c r="F88" s="169"/>
      <c r="G88" s="169"/>
      <c r="H88" s="160"/>
      <c r="I88" s="160"/>
      <c r="J88" s="160"/>
      <c r="K88" s="160"/>
      <c r="L88" s="147"/>
      <c r="M88" s="220"/>
      <c r="N88" s="147"/>
      <c r="O88" s="13"/>
      <c r="P88" s="13"/>
      <c r="Q88" s="13"/>
      <c r="R88" s="13"/>
    </row>
    <row r="89" spans="1:19" ht="33" x14ac:dyDescent="0.25">
      <c r="A89" s="149"/>
      <c r="B89" s="145" t="s">
        <v>71</v>
      </c>
      <c r="C89" s="160">
        <v>1</v>
      </c>
      <c r="D89" s="161">
        <v>2924789</v>
      </c>
      <c r="E89" s="161">
        <f>C89*D89</f>
        <v>2924789</v>
      </c>
      <c r="F89" s="189">
        <v>0</v>
      </c>
      <c r="G89" s="189">
        <v>0</v>
      </c>
      <c r="H89" s="190">
        <v>1</v>
      </c>
      <c r="I89" s="190">
        <v>1</v>
      </c>
      <c r="J89" s="190">
        <v>1</v>
      </c>
      <c r="K89" s="190">
        <v>1</v>
      </c>
      <c r="L89" s="163">
        <v>1</v>
      </c>
      <c r="M89" s="218"/>
      <c r="N89" s="164"/>
      <c r="O89" s="13"/>
      <c r="P89" s="13"/>
      <c r="Q89" s="13"/>
      <c r="R89" s="13"/>
    </row>
    <row r="90" spans="1:19" ht="33" x14ac:dyDescent="0.25">
      <c r="A90" s="149"/>
      <c r="B90" s="145" t="s">
        <v>72</v>
      </c>
      <c r="C90" s="160">
        <v>1</v>
      </c>
      <c r="D90" s="161">
        <v>3788875</v>
      </c>
      <c r="E90" s="161">
        <f>C90*D90</f>
        <v>3788875</v>
      </c>
      <c r="F90" s="189">
        <v>0</v>
      </c>
      <c r="G90" s="189">
        <v>0</v>
      </c>
      <c r="H90" s="190">
        <v>1</v>
      </c>
      <c r="I90" s="190">
        <v>1</v>
      </c>
      <c r="J90" s="190">
        <v>1</v>
      </c>
      <c r="K90" s="190">
        <v>1</v>
      </c>
      <c r="L90" s="163">
        <v>1</v>
      </c>
      <c r="M90" s="218"/>
      <c r="N90" s="164"/>
      <c r="O90" s="13"/>
      <c r="P90" s="13"/>
      <c r="Q90" s="13"/>
      <c r="R90" s="13"/>
    </row>
    <row r="91" spans="1:19" ht="16.5" x14ac:dyDescent="0.25">
      <c r="A91" s="149"/>
      <c r="B91" s="145" t="s">
        <v>188</v>
      </c>
      <c r="C91" s="160">
        <v>1</v>
      </c>
      <c r="D91" s="161">
        <v>31423246</v>
      </c>
      <c r="E91" s="161">
        <f>C91*D91</f>
        <v>31423246</v>
      </c>
      <c r="F91" s="189">
        <v>0.2</v>
      </c>
      <c r="G91" s="189">
        <v>0</v>
      </c>
      <c r="H91" s="190">
        <v>0</v>
      </c>
      <c r="I91" s="190">
        <v>0.2</v>
      </c>
      <c r="J91" s="190">
        <v>0.5</v>
      </c>
      <c r="K91" s="190">
        <v>0.7</v>
      </c>
      <c r="L91" s="253">
        <v>1</v>
      </c>
      <c r="M91" s="253">
        <f>L91-K91</f>
        <v>0.30000000000000004</v>
      </c>
      <c r="N91" s="164">
        <f>M91*E91</f>
        <v>9426973.8000000007</v>
      </c>
      <c r="O91" s="13"/>
      <c r="P91" s="13"/>
      <c r="Q91" s="13"/>
      <c r="R91" s="13"/>
    </row>
    <row r="92" spans="1:19" ht="30" customHeight="1" x14ac:dyDescent="0.25">
      <c r="A92" s="149"/>
      <c r="B92" s="145" t="s">
        <v>74</v>
      </c>
      <c r="C92" s="160">
        <v>1</v>
      </c>
      <c r="D92" s="161">
        <v>9326567</v>
      </c>
      <c r="E92" s="161">
        <f>C92*D92</f>
        <v>9326567</v>
      </c>
      <c r="F92" s="189">
        <v>0</v>
      </c>
      <c r="G92" s="189">
        <v>0</v>
      </c>
      <c r="H92" s="190">
        <v>0</v>
      </c>
      <c r="I92" s="190">
        <v>0</v>
      </c>
      <c r="J92" s="190">
        <v>0</v>
      </c>
      <c r="K92" s="190">
        <v>0.34</v>
      </c>
      <c r="L92" s="253">
        <v>1</v>
      </c>
      <c r="M92" s="253">
        <f t="shared" ref="M92:M93" si="9">L92-K92</f>
        <v>0.65999999999999992</v>
      </c>
      <c r="N92" s="164">
        <f>M92*E92</f>
        <v>6155534.2199999988</v>
      </c>
      <c r="O92" s="13"/>
      <c r="P92" s="13"/>
      <c r="Q92" s="13"/>
      <c r="R92" s="13"/>
    </row>
    <row r="93" spans="1:19" ht="16.5" x14ac:dyDescent="0.25">
      <c r="A93" s="149"/>
      <c r="B93" s="191" t="s">
        <v>168</v>
      </c>
      <c r="C93" s="160">
        <v>1</v>
      </c>
      <c r="D93" s="161">
        <v>9750000</v>
      </c>
      <c r="E93" s="161">
        <f>C93*D93</f>
        <v>9750000</v>
      </c>
      <c r="F93" s="189">
        <v>0.33333333333333331</v>
      </c>
      <c r="G93" s="189">
        <v>0.33333333333333331</v>
      </c>
      <c r="H93" s="190">
        <v>0.25000000000000006</v>
      </c>
      <c r="I93" s="190">
        <v>0.21</v>
      </c>
      <c r="J93" s="190">
        <v>0.89</v>
      </c>
      <c r="K93" s="190">
        <v>0.95</v>
      </c>
      <c r="L93" s="253">
        <v>1</v>
      </c>
      <c r="M93" s="253">
        <f t="shared" si="9"/>
        <v>5.0000000000000044E-2</v>
      </c>
      <c r="N93" s="164">
        <f>M93*E93</f>
        <v>487500.00000000041</v>
      </c>
      <c r="O93" s="14"/>
      <c r="P93" s="14"/>
      <c r="Q93" s="14"/>
      <c r="R93" s="14"/>
    </row>
    <row r="94" spans="1:19" s="16" customFormat="1" ht="16.5" x14ac:dyDescent="0.25">
      <c r="A94" s="149"/>
      <c r="B94" s="353" t="s">
        <v>145</v>
      </c>
      <c r="C94" s="353"/>
      <c r="D94" s="353"/>
      <c r="E94" s="192">
        <f>SUM(E89:E93)</f>
        <v>57213477</v>
      </c>
      <c r="F94" s="193"/>
      <c r="G94" s="193"/>
      <c r="H94" s="194"/>
      <c r="I94" s="195"/>
      <c r="J94" s="195"/>
      <c r="K94" s="195"/>
      <c r="L94" s="196">
        <f>N94/E94</f>
        <v>0.28087801795370693</v>
      </c>
      <c r="M94" s="222"/>
      <c r="N94" s="197">
        <f>SUM(N89:N93)</f>
        <v>16070008.02</v>
      </c>
      <c r="O94" s="15"/>
      <c r="P94" s="15"/>
      <c r="Q94" s="15"/>
      <c r="R94" s="15"/>
    </row>
    <row r="95" spans="1:19" s="16" customFormat="1" ht="19.5" customHeight="1" x14ac:dyDescent="0.25">
      <c r="A95" s="149"/>
      <c r="B95" s="351" t="s">
        <v>146</v>
      </c>
      <c r="C95" s="351"/>
      <c r="D95" s="351"/>
      <c r="E95" s="247"/>
      <c r="F95" s="198"/>
      <c r="G95" s="198"/>
      <c r="H95" s="199"/>
      <c r="I95" s="199"/>
      <c r="J95" s="199"/>
      <c r="K95" s="199"/>
      <c r="L95" s="198"/>
      <c r="M95" s="224"/>
      <c r="N95" s="200"/>
      <c r="O95" s="19"/>
      <c r="P95" s="19"/>
      <c r="Q95" s="19"/>
      <c r="R95" s="19"/>
    </row>
    <row r="96" spans="1:19" ht="29.25" customHeight="1" x14ac:dyDescent="0.25">
      <c r="A96" s="149"/>
      <c r="B96" s="346" t="s">
        <v>151</v>
      </c>
      <c r="C96" s="347"/>
      <c r="D96" s="348"/>
      <c r="E96" s="201">
        <f>E94+E86+E87</f>
        <v>275342533</v>
      </c>
      <c r="F96" s="202">
        <v>0.19089999999999999</v>
      </c>
      <c r="G96" s="210">
        <v>0.19089999999999999</v>
      </c>
      <c r="H96" s="211">
        <v>9.8100000000000007E-2</v>
      </c>
      <c r="I96" s="211">
        <v>0.2752</v>
      </c>
      <c r="J96" s="211">
        <v>0.18990000000000001</v>
      </c>
      <c r="K96" s="252">
        <v>0.14599999999999999</v>
      </c>
      <c r="L96" s="209">
        <f>N96/E96</f>
        <v>0.10000524844448931</v>
      </c>
      <c r="M96" s="225"/>
      <c r="N96" s="212">
        <f>N94+N86+N87</f>
        <v>27535698.419999998</v>
      </c>
      <c r="O96" s="15"/>
      <c r="P96" s="15"/>
      <c r="Q96" s="15"/>
      <c r="R96" s="15"/>
      <c r="S96" s="16"/>
    </row>
    <row r="97" spans="1:19" ht="16.5" x14ac:dyDescent="0.25">
      <c r="A97" s="204"/>
      <c r="B97" s="205"/>
      <c r="C97" s="205"/>
      <c r="D97" s="206"/>
      <c r="E97" s="206"/>
      <c r="F97" s="205"/>
      <c r="G97" s="205"/>
      <c r="H97" s="205"/>
      <c r="I97" s="205"/>
      <c r="J97" s="205"/>
      <c r="K97" s="205"/>
      <c r="L97" s="205"/>
      <c r="M97" s="226"/>
      <c r="N97" s="205"/>
      <c r="O97" s="16"/>
      <c r="P97" s="16"/>
      <c r="Q97" s="16"/>
      <c r="R97" s="16"/>
      <c r="S97" s="16"/>
    </row>
    <row r="98" spans="1:19" ht="16.5" x14ac:dyDescent="0.25">
      <c r="A98" s="204"/>
      <c r="B98" s="249" t="s">
        <v>182</v>
      </c>
      <c r="C98" s="205"/>
      <c r="D98" s="206"/>
      <c r="E98" s="408" t="s">
        <v>183</v>
      </c>
      <c r="F98" s="409"/>
      <c r="G98" s="410"/>
      <c r="H98" s="205"/>
      <c r="I98" s="411" t="s">
        <v>184</v>
      </c>
      <c r="J98" s="411"/>
      <c r="K98" s="411"/>
      <c r="L98" s="411"/>
      <c r="M98" s="227"/>
      <c r="N98" s="207"/>
      <c r="O98" s="16"/>
      <c r="P98" s="16"/>
      <c r="Q98" s="16"/>
      <c r="R98" s="16"/>
      <c r="S98" s="16"/>
    </row>
    <row r="99" spans="1:19" ht="16.5" x14ac:dyDescent="0.25">
      <c r="A99" s="204"/>
      <c r="B99" s="412"/>
      <c r="C99" s="205"/>
      <c r="D99" s="206"/>
      <c r="E99" s="415"/>
      <c r="F99" s="416"/>
      <c r="G99" s="417"/>
      <c r="H99" s="205"/>
      <c r="I99" s="424"/>
      <c r="J99" s="424"/>
      <c r="K99" s="424"/>
      <c r="L99" s="424"/>
      <c r="M99" s="228"/>
      <c r="N99" s="205"/>
    </row>
    <row r="100" spans="1:19" ht="16.5" x14ac:dyDescent="0.25">
      <c r="A100" s="204"/>
      <c r="B100" s="413"/>
      <c r="C100" s="205"/>
      <c r="D100" s="206"/>
      <c r="E100" s="418"/>
      <c r="F100" s="419"/>
      <c r="G100" s="420"/>
      <c r="H100" s="205"/>
      <c r="I100" s="424"/>
      <c r="J100" s="424"/>
      <c r="K100" s="424"/>
      <c r="L100" s="424"/>
      <c r="M100" s="228"/>
      <c r="N100" s="205"/>
    </row>
    <row r="101" spans="1:19" ht="16.5" x14ac:dyDescent="0.25">
      <c r="A101" s="204"/>
      <c r="B101" s="413"/>
      <c r="C101" s="205"/>
      <c r="D101" s="206"/>
      <c r="E101" s="418"/>
      <c r="F101" s="419"/>
      <c r="G101" s="420"/>
      <c r="H101" s="205"/>
      <c r="I101" s="424"/>
      <c r="J101" s="424"/>
      <c r="K101" s="424"/>
      <c r="L101" s="424"/>
      <c r="M101" s="228"/>
      <c r="N101" s="205"/>
    </row>
    <row r="102" spans="1:19" ht="16.5" x14ac:dyDescent="0.25">
      <c r="A102" s="204"/>
      <c r="B102" s="414"/>
      <c r="C102" s="204"/>
      <c r="D102" s="208"/>
      <c r="E102" s="421"/>
      <c r="F102" s="422"/>
      <c r="G102" s="423"/>
      <c r="H102" s="204"/>
      <c r="I102" s="424"/>
      <c r="J102" s="424"/>
      <c r="K102" s="424"/>
      <c r="L102" s="424"/>
      <c r="M102" s="228"/>
      <c r="N102" s="205"/>
    </row>
    <row r="105" spans="1:19" x14ac:dyDescent="0.2">
      <c r="H105" s="345"/>
      <c r="I105" s="345"/>
      <c r="L105" s="118"/>
      <c r="M105" s="229"/>
    </row>
  </sheetData>
  <mergeCells count="19">
    <mergeCell ref="B95:D95"/>
    <mergeCell ref="B2:F2"/>
    <mergeCell ref="H2:L2"/>
    <mergeCell ref="A5:A8"/>
    <mergeCell ref="B19:D19"/>
    <mergeCell ref="B20:D20"/>
    <mergeCell ref="B23:D23"/>
    <mergeCell ref="B24:D24"/>
    <mergeCell ref="B31:D31"/>
    <mergeCell ref="B44:D44"/>
    <mergeCell ref="B82:D82"/>
    <mergeCell ref="B94:D94"/>
    <mergeCell ref="H105:I105"/>
    <mergeCell ref="B96:D96"/>
    <mergeCell ref="E98:G98"/>
    <mergeCell ref="I98:L98"/>
    <mergeCell ref="B99:B102"/>
    <mergeCell ref="E99:G102"/>
    <mergeCell ref="I99:L102"/>
  </mergeCells>
  <printOptions horizontalCentered="1" verticalCentered="1"/>
  <pageMargins left="0.39370078740157483" right="0.39370078740157483" top="0.19685039370078741" bottom="0.19685039370078741" header="0.31496062992125984" footer="0.51181102362204722"/>
  <pageSetup paperSize="9" scale="50" fitToWidth="50" fitToHeight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1"/>
  <sheetViews>
    <sheetView zoomScaleNormal="100" workbookViewId="0">
      <selection activeCell="J9" sqref="J9"/>
    </sheetView>
  </sheetViews>
  <sheetFormatPr baseColWidth="10" defaultRowHeight="15.75" x14ac:dyDescent="0.25"/>
  <cols>
    <col min="1" max="1" width="36.85546875" style="20" customWidth="1"/>
    <col min="2" max="2" width="13.42578125" style="97" customWidth="1"/>
    <col min="3" max="3" width="14.85546875" style="97" customWidth="1"/>
    <col min="4" max="4" width="19" style="98" customWidth="1"/>
    <col min="5" max="5" width="14.7109375" style="98" customWidth="1"/>
    <col min="6" max="6" width="12.28515625" style="98" customWidth="1"/>
    <col min="7" max="7" width="11.7109375" style="98" customWidth="1"/>
    <col min="8" max="8" width="13.140625" style="20" customWidth="1"/>
    <col min="9" max="9" width="12.5703125" style="20" customWidth="1"/>
    <col min="10" max="10" width="11.42578125" style="20"/>
    <col min="11" max="11" width="17.28515625" style="20" bestFit="1" customWidth="1"/>
    <col min="12" max="16384" width="11.42578125" style="20"/>
  </cols>
  <sheetData>
    <row r="1" spans="1:8" ht="16.5" thickBot="1" x14ac:dyDescent="0.3"/>
    <row r="2" spans="1:8" ht="16.5" customHeight="1" thickTop="1" x14ac:dyDescent="0.25">
      <c r="A2" s="427" t="s">
        <v>235</v>
      </c>
      <c r="B2" s="428"/>
      <c r="C2" s="428"/>
      <c r="D2" s="428"/>
      <c r="E2" s="428"/>
      <c r="F2" s="428"/>
      <c r="G2" s="429"/>
      <c r="H2" s="425" t="s">
        <v>205</v>
      </c>
    </row>
    <row r="3" spans="1:8" s="63" customFormat="1" ht="47.25" x14ac:dyDescent="0.25">
      <c r="A3" s="277" t="s">
        <v>204</v>
      </c>
      <c r="B3" s="292" t="s">
        <v>215</v>
      </c>
      <c r="C3" s="278" t="s">
        <v>206</v>
      </c>
      <c r="D3" s="300" t="s">
        <v>207</v>
      </c>
      <c r="E3" s="300" t="s">
        <v>214</v>
      </c>
      <c r="F3" s="300" t="s">
        <v>233</v>
      </c>
      <c r="G3" s="300" t="s">
        <v>218</v>
      </c>
      <c r="H3" s="426"/>
    </row>
    <row r="4" spans="1:8" ht="31.5" x14ac:dyDescent="0.25">
      <c r="A4" s="294" t="s">
        <v>203</v>
      </c>
      <c r="B4" s="282">
        <v>120</v>
      </c>
      <c r="C4" s="283">
        <v>41394</v>
      </c>
      <c r="D4" s="283">
        <v>41563</v>
      </c>
      <c r="E4" s="284">
        <f>NETWORKDAYS(C4,D4)</f>
        <v>122</v>
      </c>
      <c r="F4" s="284"/>
      <c r="G4" s="284">
        <v>6</v>
      </c>
      <c r="H4" s="285">
        <f>E4-G4-F4</f>
        <v>116</v>
      </c>
    </row>
    <row r="5" spans="1:8" ht="31.5" x14ac:dyDescent="0.25">
      <c r="A5" s="295" t="s">
        <v>210</v>
      </c>
      <c r="B5" s="3">
        <v>60</v>
      </c>
      <c r="C5" s="260">
        <v>41563</v>
      </c>
      <c r="D5" s="283">
        <v>41599</v>
      </c>
      <c r="E5" s="284">
        <f>NETWORKDAYS(C5,D5)</f>
        <v>27</v>
      </c>
      <c r="F5" s="284"/>
      <c r="G5" s="4"/>
      <c r="H5" s="285">
        <f>E5-F5</f>
        <v>27</v>
      </c>
    </row>
    <row r="6" spans="1:8" ht="31.5" x14ac:dyDescent="0.25">
      <c r="A6" s="296" t="s">
        <v>208</v>
      </c>
      <c r="B6" s="3"/>
      <c r="C6" s="260">
        <v>41599</v>
      </c>
      <c r="D6" s="260">
        <v>42279</v>
      </c>
      <c r="E6" s="4">
        <f>NETWORKDAYS(C6,D6)</f>
        <v>487</v>
      </c>
      <c r="F6" s="4"/>
      <c r="G6" s="4"/>
      <c r="H6" s="285">
        <f t="shared" ref="H6" si="0">E6-G6</f>
        <v>487</v>
      </c>
    </row>
    <row r="7" spans="1:8" ht="31.5" x14ac:dyDescent="0.25">
      <c r="A7" s="296" t="s">
        <v>211</v>
      </c>
      <c r="B7" s="3"/>
      <c r="C7" s="260">
        <v>42302</v>
      </c>
      <c r="D7" s="260"/>
      <c r="E7" s="4"/>
      <c r="F7" s="4"/>
      <c r="G7" s="4"/>
      <c r="H7" s="285"/>
    </row>
    <row r="8" spans="1:8" ht="31.5" x14ac:dyDescent="0.25">
      <c r="A8" s="297" t="s">
        <v>209</v>
      </c>
      <c r="B8" s="282">
        <v>30</v>
      </c>
      <c r="C8" s="283">
        <v>42279</v>
      </c>
      <c r="D8" s="283">
        <v>42494</v>
      </c>
      <c r="E8" s="284">
        <v>154</v>
      </c>
      <c r="F8" s="284"/>
      <c r="G8" s="284">
        <v>4</v>
      </c>
      <c r="H8" s="285">
        <f>E8-G8-F8</f>
        <v>150</v>
      </c>
    </row>
    <row r="9" spans="1:8" ht="36.75" customHeight="1" x14ac:dyDescent="0.25">
      <c r="A9" s="298" t="s">
        <v>213</v>
      </c>
      <c r="B9" s="3"/>
      <c r="C9" s="260">
        <v>42494</v>
      </c>
      <c r="D9" s="293" t="s">
        <v>212</v>
      </c>
      <c r="E9" s="4"/>
      <c r="F9" s="4"/>
      <c r="G9" s="4"/>
      <c r="H9" s="65"/>
    </row>
    <row r="10" spans="1:8" x14ac:dyDescent="0.25">
      <c r="A10" s="299" t="s">
        <v>216</v>
      </c>
      <c r="B10" s="261">
        <f>B4+B5+B8</f>
        <v>210</v>
      </c>
      <c r="C10" s="3"/>
      <c r="D10" s="72"/>
      <c r="E10" s="69">
        <f>H4+H8+H5</f>
        <v>293</v>
      </c>
      <c r="F10" s="69"/>
      <c r="G10" s="69"/>
      <c r="H10" s="301">
        <v>195</v>
      </c>
    </row>
    <row r="11" spans="1:8" x14ac:dyDescent="0.25">
      <c r="A11" s="299" t="s">
        <v>217</v>
      </c>
      <c r="B11" s="275">
        <f>E10-B10</f>
        <v>83</v>
      </c>
      <c r="C11" s="3"/>
      <c r="D11" s="4"/>
      <c r="E11" s="4"/>
      <c r="F11" s="4"/>
      <c r="G11" s="4"/>
      <c r="H11" s="68"/>
    </row>
    <row r="12" spans="1:8" x14ac:dyDescent="0.25">
      <c r="A12" s="125"/>
      <c r="B12" s="3"/>
      <c r="C12" s="3"/>
      <c r="D12" s="4"/>
      <c r="E12" s="4"/>
      <c r="F12" s="4"/>
      <c r="G12" s="4"/>
      <c r="H12" s="68"/>
    </row>
    <row r="13" spans="1:8" x14ac:dyDescent="0.25">
      <c r="A13" s="125"/>
      <c r="B13" s="3"/>
      <c r="C13" s="3"/>
      <c r="D13" s="4"/>
      <c r="E13" s="4"/>
      <c r="F13" s="4"/>
      <c r="G13" s="4"/>
      <c r="H13" s="68"/>
    </row>
    <row r="14" spans="1:8" x14ac:dyDescent="0.25">
      <c r="A14" s="2"/>
      <c r="B14" s="3"/>
      <c r="C14" s="3"/>
      <c r="D14" s="4"/>
      <c r="E14" s="4"/>
      <c r="F14" s="4"/>
      <c r="G14" s="4"/>
      <c r="H14" s="68"/>
    </row>
    <row r="15" spans="1:8" x14ac:dyDescent="0.25">
      <c r="A15" s="125"/>
      <c r="B15" s="3"/>
      <c r="C15" s="279"/>
      <c r="D15" s="4"/>
      <c r="E15" s="4"/>
      <c r="F15" s="4"/>
      <c r="G15" s="4"/>
      <c r="H15" s="68"/>
    </row>
    <row r="16" spans="1:8" ht="16.5" x14ac:dyDescent="0.25">
      <c r="A16" s="388"/>
      <c r="B16" s="388"/>
      <c r="C16" s="388"/>
      <c r="D16" s="388"/>
      <c r="E16" s="69"/>
      <c r="F16" s="69"/>
      <c r="G16" s="69"/>
      <c r="H16" s="71"/>
    </row>
    <row r="17" spans="1:8" x14ac:dyDescent="0.25">
      <c r="A17" s="388"/>
      <c r="B17" s="388"/>
      <c r="C17" s="388"/>
      <c r="D17" s="388"/>
      <c r="E17" s="388"/>
      <c r="F17" s="388"/>
      <c r="G17" s="388"/>
      <c r="H17" s="65"/>
    </row>
    <row r="18" spans="1:8" x14ac:dyDescent="0.25">
      <c r="A18" s="2"/>
      <c r="B18" s="3"/>
      <c r="C18" s="3"/>
      <c r="D18" s="4"/>
      <c r="E18" s="4"/>
      <c r="F18" s="4"/>
      <c r="G18" s="4"/>
      <c r="H18" s="68"/>
    </row>
    <row r="19" spans="1:8" x14ac:dyDescent="0.25">
      <c r="A19" s="66"/>
      <c r="B19" s="3"/>
      <c r="C19" s="3"/>
      <c r="D19" s="4"/>
      <c r="E19" s="4"/>
      <c r="F19" s="4"/>
      <c r="G19" s="4"/>
      <c r="H19" s="68"/>
    </row>
    <row r="20" spans="1:8" ht="16.5" x14ac:dyDescent="0.25">
      <c r="A20" s="388"/>
      <c r="B20" s="388"/>
      <c r="C20" s="388"/>
      <c r="D20" s="388"/>
      <c r="E20" s="69"/>
      <c r="F20" s="69"/>
      <c r="G20" s="69"/>
      <c r="H20" s="71"/>
    </row>
    <row r="21" spans="1:8" x14ac:dyDescent="0.25">
      <c r="A21" s="388"/>
      <c r="B21" s="388"/>
      <c r="C21" s="388"/>
      <c r="D21" s="388"/>
      <c r="E21" s="388"/>
      <c r="F21" s="388"/>
      <c r="G21" s="388"/>
      <c r="H21" s="65"/>
    </row>
    <row r="22" spans="1:8" x14ac:dyDescent="0.25">
      <c r="A22" s="257"/>
      <c r="B22" s="3"/>
      <c r="C22" s="3"/>
      <c r="D22" s="4"/>
      <c r="E22" s="4"/>
      <c r="F22" s="4"/>
      <c r="G22" s="4"/>
      <c r="H22" s="68"/>
    </row>
    <row r="23" spans="1:8" x14ac:dyDescent="0.25">
      <c r="A23" s="256"/>
      <c r="B23" s="3"/>
      <c r="C23" s="3"/>
      <c r="D23" s="4"/>
      <c r="E23" s="4"/>
      <c r="F23" s="4"/>
      <c r="G23" s="4"/>
      <c r="H23" s="68"/>
    </row>
    <row r="24" spans="1:8" x14ac:dyDescent="0.25">
      <c r="A24" s="2"/>
      <c r="B24" s="3"/>
      <c r="C24" s="3"/>
      <c r="D24" s="4"/>
      <c r="E24" s="4"/>
      <c r="F24" s="4"/>
      <c r="G24" s="4"/>
      <c r="H24" s="68"/>
    </row>
    <row r="25" spans="1:8" x14ac:dyDescent="0.25">
      <c r="A25" s="1"/>
      <c r="B25" s="3"/>
      <c r="C25" s="3"/>
      <c r="D25" s="4"/>
      <c r="E25" s="69"/>
      <c r="F25" s="69"/>
      <c r="G25" s="69"/>
      <c r="H25" s="68"/>
    </row>
    <row r="26" spans="1:8" ht="16.5" x14ac:dyDescent="0.25">
      <c r="A26" s="388"/>
      <c r="B26" s="388"/>
      <c r="C26" s="388"/>
      <c r="D26" s="388"/>
      <c r="E26" s="69"/>
      <c r="F26" s="69"/>
      <c r="G26" s="69"/>
      <c r="H26" s="71"/>
    </row>
    <row r="27" spans="1:8" x14ac:dyDescent="0.25">
      <c r="A27" s="2"/>
      <c r="B27" s="3"/>
      <c r="C27" s="3"/>
      <c r="D27" s="4"/>
      <c r="E27" s="4"/>
      <c r="F27" s="4"/>
      <c r="G27" s="4"/>
      <c r="H27" s="65"/>
    </row>
    <row r="28" spans="1:8" x14ac:dyDescent="0.25">
      <c r="A28" s="388"/>
      <c r="B28" s="388"/>
      <c r="C28" s="388"/>
      <c r="D28" s="388"/>
      <c r="E28" s="388"/>
      <c r="F28" s="388"/>
      <c r="G28" s="388"/>
      <c r="H28" s="65"/>
    </row>
    <row r="29" spans="1:8" x14ac:dyDescent="0.25">
      <c r="A29" s="2"/>
      <c r="B29" s="3"/>
      <c r="C29" s="3"/>
      <c r="D29" s="4"/>
      <c r="E29" s="4"/>
      <c r="F29" s="4"/>
      <c r="G29" s="4"/>
      <c r="H29" s="68"/>
    </row>
    <row r="30" spans="1:8" x14ac:dyDescent="0.25">
      <c r="A30" s="66"/>
      <c r="B30" s="3"/>
      <c r="C30" s="3"/>
      <c r="D30" s="4"/>
      <c r="E30" s="4"/>
      <c r="F30" s="4"/>
      <c r="G30" s="4"/>
      <c r="H30" s="68"/>
    </row>
    <row r="31" spans="1:8" x14ac:dyDescent="0.25">
      <c r="A31" s="66"/>
      <c r="B31" s="3"/>
      <c r="C31" s="3"/>
      <c r="D31" s="4"/>
      <c r="E31" s="4"/>
      <c r="F31" s="4"/>
      <c r="G31" s="4"/>
      <c r="H31" s="68"/>
    </row>
    <row r="32" spans="1:8" x14ac:dyDescent="0.25">
      <c r="A32" s="2"/>
      <c r="B32" s="3"/>
      <c r="C32" s="3"/>
      <c r="D32" s="4"/>
      <c r="E32" s="4"/>
      <c r="F32" s="4"/>
      <c r="G32" s="4"/>
      <c r="H32" s="68"/>
    </row>
    <row r="33" spans="1:8" x14ac:dyDescent="0.25">
      <c r="A33" s="66"/>
      <c r="B33" s="3"/>
      <c r="C33" s="3"/>
      <c r="D33" s="4"/>
      <c r="E33" s="4"/>
      <c r="F33" s="4"/>
      <c r="G33" s="4"/>
      <c r="H33" s="68"/>
    </row>
    <row r="34" spans="1:8" x14ac:dyDescent="0.25">
      <c r="A34" s="66"/>
      <c r="B34" s="3"/>
      <c r="C34" s="3"/>
      <c r="D34" s="4"/>
      <c r="E34" s="4"/>
      <c r="F34" s="4"/>
      <c r="G34" s="4"/>
      <c r="H34" s="68"/>
    </row>
    <row r="35" spans="1:8" x14ac:dyDescent="0.25">
      <c r="A35" s="66"/>
      <c r="B35" s="3"/>
      <c r="C35" s="3"/>
      <c r="D35" s="4"/>
      <c r="E35" s="4"/>
      <c r="F35" s="4"/>
      <c r="G35" s="4"/>
      <c r="H35" s="68"/>
    </row>
    <row r="36" spans="1:8" x14ac:dyDescent="0.25">
      <c r="A36" s="66"/>
      <c r="B36" s="3"/>
      <c r="C36" s="3"/>
      <c r="D36" s="4"/>
      <c r="E36" s="4"/>
      <c r="F36" s="4"/>
      <c r="G36" s="4"/>
      <c r="H36" s="68"/>
    </row>
    <row r="37" spans="1:8" x14ac:dyDescent="0.25">
      <c r="A37" s="2"/>
      <c r="B37" s="3"/>
      <c r="C37" s="3"/>
      <c r="D37" s="4"/>
      <c r="E37" s="4"/>
      <c r="F37" s="4"/>
      <c r="G37" s="4"/>
      <c r="H37" s="68"/>
    </row>
    <row r="38" spans="1:8" x14ac:dyDescent="0.25">
      <c r="A38" s="2"/>
      <c r="B38" s="3"/>
      <c r="C38" s="3"/>
      <c r="D38" s="4"/>
      <c r="E38" s="4"/>
      <c r="F38" s="4"/>
      <c r="G38" s="4"/>
      <c r="H38" s="68"/>
    </row>
    <row r="39" spans="1:8" x14ac:dyDescent="0.25">
      <c r="A39" s="2"/>
      <c r="B39" s="3"/>
      <c r="C39" s="3"/>
      <c r="D39" s="4"/>
      <c r="E39" s="4"/>
      <c r="F39" s="4"/>
      <c r="G39" s="4"/>
      <c r="H39" s="68"/>
    </row>
    <row r="40" spans="1:8" ht="16.5" x14ac:dyDescent="0.25">
      <c r="A40" s="388"/>
      <c r="B40" s="388"/>
      <c r="C40" s="388"/>
      <c r="D40" s="388"/>
      <c r="E40" s="69"/>
      <c r="F40" s="69"/>
      <c r="G40" s="69"/>
      <c r="H40" s="71"/>
    </row>
    <row r="41" spans="1:8" x14ac:dyDescent="0.25">
      <c r="A41" s="2"/>
      <c r="B41" s="3"/>
      <c r="C41" s="3"/>
      <c r="D41" s="4"/>
      <c r="E41" s="4"/>
      <c r="F41" s="4"/>
      <c r="G41" s="4"/>
      <c r="H41" s="65"/>
    </row>
    <row r="42" spans="1:8" x14ac:dyDescent="0.25">
      <c r="A42" s="388"/>
      <c r="B42" s="388"/>
      <c r="C42" s="388"/>
      <c r="D42" s="388"/>
      <c r="E42" s="388"/>
      <c r="F42" s="388"/>
      <c r="G42" s="388"/>
      <c r="H42" s="65"/>
    </row>
    <row r="43" spans="1:8" x14ac:dyDescent="0.25">
      <c r="A43" s="2"/>
      <c r="B43" s="3"/>
      <c r="C43" s="3"/>
      <c r="D43" s="4"/>
      <c r="E43" s="4"/>
      <c r="F43" s="4"/>
      <c r="G43" s="4"/>
      <c r="H43" s="65"/>
    </row>
    <row r="44" spans="1:8" x14ac:dyDescent="0.25">
      <c r="A44" s="2"/>
      <c r="B44" s="3"/>
      <c r="C44" s="3"/>
      <c r="D44" s="4"/>
      <c r="E44" s="4"/>
      <c r="F44" s="4"/>
      <c r="G44" s="4"/>
      <c r="H44" s="68"/>
    </row>
    <row r="45" spans="1:8" x14ac:dyDescent="0.25">
      <c r="A45" s="2"/>
      <c r="B45" s="3"/>
      <c r="C45" s="3"/>
      <c r="D45" s="4"/>
      <c r="E45" s="4"/>
      <c r="F45" s="4"/>
      <c r="G45" s="4"/>
      <c r="H45" s="68"/>
    </row>
    <row r="46" spans="1:8" x14ac:dyDescent="0.25">
      <c r="A46" s="2"/>
      <c r="B46" s="3"/>
      <c r="C46" s="3"/>
      <c r="D46" s="4"/>
      <c r="E46" s="4"/>
      <c r="F46" s="4"/>
      <c r="G46" s="4"/>
      <c r="H46" s="68"/>
    </row>
    <row r="47" spans="1:8" ht="16.5" x14ac:dyDescent="0.25">
      <c r="A47" s="388"/>
      <c r="B47" s="388"/>
      <c r="C47" s="388"/>
      <c r="D47" s="388"/>
      <c r="E47" s="69"/>
      <c r="F47" s="69"/>
      <c r="G47" s="69"/>
      <c r="H47" s="71"/>
    </row>
    <row r="48" spans="1:8" x14ac:dyDescent="0.25">
      <c r="A48" s="1"/>
      <c r="B48" s="3"/>
      <c r="C48" s="3"/>
      <c r="D48" s="4"/>
      <c r="E48" s="4"/>
      <c r="F48" s="4"/>
      <c r="G48" s="4"/>
      <c r="H48" s="65"/>
    </row>
    <row r="49" spans="1:8" x14ac:dyDescent="0.25">
      <c r="A49" s="1"/>
      <c r="B49" s="3"/>
      <c r="C49" s="3"/>
      <c r="D49" s="4"/>
      <c r="E49" s="4"/>
      <c r="F49" s="4"/>
      <c r="G49" s="4"/>
      <c r="H49" s="65"/>
    </row>
    <row r="50" spans="1:8" x14ac:dyDescent="0.25">
      <c r="A50" s="2"/>
      <c r="B50" s="3"/>
      <c r="C50" s="3"/>
      <c r="D50" s="4"/>
      <c r="E50" s="4"/>
      <c r="F50" s="4"/>
      <c r="G50" s="4"/>
      <c r="H50" s="68"/>
    </row>
    <row r="51" spans="1:8" x14ac:dyDescent="0.25">
      <c r="A51" s="256"/>
      <c r="B51" s="3"/>
      <c r="C51" s="3"/>
      <c r="D51" s="4"/>
      <c r="E51" s="4"/>
      <c r="F51" s="4"/>
      <c r="G51" s="4"/>
      <c r="H51" s="68"/>
    </row>
    <row r="52" spans="1:8" x14ac:dyDescent="0.25">
      <c r="A52" s="2"/>
      <c r="B52" s="3"/>
      <c r="C52" s="3"/>
      <c r="D52" s="4"/>
      <c r="E52" s="4"/>
      <c r="F52" s="4"/>
      <c r="G52" s="4"/>
      <c r="H52" s="68"/>
    </row>
    <row r="53" spans="1:8" x14ac:dyDescent="0.25">
      <c r="A53" s="2"/>
      <c r="B53" s="3"/>
      <c r="C53" s="3"/>
      <c r="D53" s="4"/>
      <c r="E53" s="4"/>
      <c r="F53" s="4"/>
      <c r="G53" s="4"/>
      <c r="H53" s="68"/>
    </row>
    <row r="54" spans="1:8" x14ac:dyDescent="0.25">
      <c r="A54" s="2"/>
      <c r="B54" s="3"/>
      <c r="C54" s="3"/>
      <c r="D54" s="4"/>
      <c r="E54" s="4"/>
      <c r="F54" s="4"/>
      <c r="G54" s="4"/>
      <c r="H54" s="68"/>
    </row>
    <row r="55" spans="1:8" ht="16.5" x14ac:dyDescent="0.25">
      <c r="A55" s="388"/>
      <c r="B55" s="388"/>
      <c r="C55" s="388"/>
      <c r="D55" s="388"/>
      <c r="E55" s="69"/>
      <c r="F55" s="69"/>
      <c r="G55" s="69"/>
      <c r="H55" s="71"/>
    </row>
    <row r="56" spans="1:8" x14ac:dyDescent="0.25">
      <c r="A56" s="1"/>
      <c r="B56" s="3"/>
      <c r="C56" s="3"/>
      <c r="D56" s="4"/>
      <c r="E56" s="4"/>
      <c r="F56" s="4"/>
      <c r="G56" s="4"/>
      <c r="H56" s="65"/>
    </row>
    <row r="57" spans="1:8" x14ac:dyDescent="0.25">
      <c r="A57" s="2"/>
      <c r="B57" s="3"/>
      <c r="C57" s="3"/>
      <c r="D57" s="4"/>
      <c r="E57" s="4"/>
      <c r="F57" s="4"/>
      <c r="G57" s="4"/>
      <c r="H57" s="68"/>
    </row>
    <row r="58" spans="1:8" x14ac:dyDescent="0.25">
      <c r="A58" s="2"/>
      <c r="B58" s="3"/>
      <c r="C58" s="3"/>
      <c r="D58" s="4"/>
      <c r="E58" s="4"/>
      <c r="F58" s="4"/>
      <c r="G58" s="4"/>
      <c r="H58" s="68"/>
    </row>
    <row r="59" spans="1:8" x14ac:dyDescent="0.25">
      <c r="A59" s="2"/>
      <c r="B59" s="3"/>
      <c r="C59" s="3"/>
      <c r="D59" s="4"/>
      <c r="E59" s="4"/>
      <c r="F59" s="4"/>
      <c r="G59" s="4"/>
      <c r="H59" s="68"/>
    </row>
    <row r="60" spans="1:8" x14ac:dyDescent="0.25">
      <c r="A60" s="2"/>
      <c r="B60" s="3"/>
      <c r="C60" s="3"/>
      <c r="D60" s="4"/>
      <c r="E60" s="4"/>
      <c r="F60" s="4"/>
      <c r="G60" s="4"/>
      <c r="H60" s="68"/>
    </row>
    <row r="61" spans="1:8" x14ac:dyDescent="0.25">
      <c r="A61" s="2"/>
      <c r="B61" s="3"/>
      <c r="C61" s="3"/>
      <c r="D61" s="4"/>
      <c r="E61" s="4"/>
      <c r="F61" s="4"/>
      <c r="G61" s="4"/>
      <c r="H61" s="68"/>
    </row>
    <row r="62" spans="1:8" ht="16.5" x14ac:dyDescent="0.25">
      <c r="A62" s="388"/>
      <c r="B62" s="388"/>
      <c r="C62" s="388"/>
      <c r="D62" s="388"/>
      <c r="E62" s="69"/>
      <c r="F62" s="69"/>
      <c r="G62" s="69"/>
      <c r="H62" s="71"/>
    </row>
    <row r="63" spans="1:8" x14ac:dyDescent="0.25">
      <c r="A63" s="1"/>
      <c r="B63" s="3"/>
      <c r="C63" s="3"/>
      <c r="D63" s="4"/>
      <c r="E63" s="4"/>
      <c r="F63" s="4"/>
      <c r="G63" s="4"/>
      <c r="H63" s="65"/>
    </row>
    <row r="64" spans="1:8" x14ac:dyDescent="0.25">
      <c r="A64" s="257"/>
      <c r="B64" s="3"/>
      <c r="C64" s="3"/>
      <c r="D64" s="4"/>
      <c r="E64" s="4"/>
      <c r="F64" s="4"/>
      <c r="G64" s="4"/>
      <c r="H64" s="68"/>
    </row>
    <row r="65" spans="1:8" x14ac:dyDescent="0.25">
      <c r="A65" s="2"/>
      <c r="B65" s="3"/>
      <c r="C65" s="3"/>
      <c r="D65" s="4"/>
      <c r="E65" s="4"/>
      <c r="F65" s="4"/>
      <c r="G65" s="4"/>
      <c r="H65" s="68"/>
    </row>
    <row r="66" spans="1:8" ht="16.5" x14ac:dyDescent="0.25">
      <c r="A66" s="1"/>
      <c r="B66" s="3"/>
      <c r="C66" s="3"/>
      <c r="D66" s="4"/>
      <c r="E66" s="69"/>
      <c r="F66" s="69"/>
      <c r="G66" s="69"/>
      <c r="H66" s="71"/>
    </row>
    <row r="67" spans="1:8" x14ac:dyDescent="0.25">
      <c r="A67" s="1"/>
      <c r="B67" s="3"/>
      <c r="C67" s="3"/>
      <c r="D67" s="4"/>
      <c r="E67" s="4"/>
      <c r="F67" s="4"/>
      <c r="G67" s="4"/>
      <c r="H67" s="65"/>
    </row>
    <row r="68" spans="1:8" x14ac:dyDescent="0.25">
      <c r="A68" s="2"/>
      <c r="B68" s="3"/>
      <c r="C68" s="3"/>
      <c r="D68" s="4"/>
      <c r="E68" s="4"/>
      <c r="F68" s="4"/>
      <c r="G68" s="4"/>
      <c r="H68" s="68"/>
    </row>
    <row r="69" spans="1:8" x14ac:dyDescent="0.25">
      <c r="A69" s="5"/>
      <c r="B69" s="3"/>
      <c r="C69" s="3"/>
      <c r="D69" s="4"/>
      <c r="E69" s="4"/>
      <c r="F69" s="4"/>
      <c r="G69" s="4"/>
      <c r="H69" s="68"/>
    </row>
    <row r="70" spans="1:8" ht="16.5" x14ac:dyDescent="0.25">
      <c r="A70" s="73"/>
      <c r="B70" s="3"/>
      <c r="C70" s="3"/>
      <c r="D70" s="4"/>
      <c r="E70" s="69"/>
      <c r="F70" s="69"/>
      <c r="G70" s="69"/>
      <c r="H70" s="71"/>
    </row>
    <row r="71" spans="1:8" x14ac:dyDescent="0.25">
      <c r="A71" s="73"/>
      <c r="B71" s="3"/>
      <c r="C71" s="3"/>
      <c r="D71" s="4"/>
      <c r="E71" s="4"/>
      <c r="F71" s="4"/>
      <c r="G71" s="4"/>
      <c r="H71" s="65"/>
    </row>
    <row r="72" spans="1:8" x14ac:dyDescent="0.25">
      <c r="A72" s="5"/>
      <c r="B72" s="3"/>
      <c r="C72" s="3"/>
      <c r="D72" s="4"/>
      <c r="E72" s="4"/>
      <c r="F72" s="4"/>
      <c r="G72" s="4"/>
      <c r="H72" s="68"/>
    </row>
    <row r="73" spans="1:8" x14ac:dyDescent="0.25">
      <c r="A73" s="124"/>
      <c r="B73" s="3"/>
      <c r="C73" s="3"/>
      <c r="D73" s="4"/>
      <c r="E73" s="4"/>
      <c r="F73" s="4"/>
      <c r="G73" s="4"/>
      <c r="H73" s="68"/>
    </row>
    <row r="74" spans="1:8" x14ac:dyDescent="0.25">
      <c r="A74" s="124"/>
      <c r="B74" s="3"/>
      <c r="C74" s="3"/>
      <c r="D74" s="4"/>
      <c r="E74" s="4"/>
      <c r="F74" s="4"/>
      <c r="G74" s="4"/>
      <c r="H74" s="68"/>
    </row>
    <row r="75" spans="1:8" x14ac:dyDescent="0.25">
      <c r="A75" s="124"/>
      <c r="B75" s="3"/>
      <c r="C75" s="3"/>
      <c r="D75" s="4"/>
      <c r="E75" s="4"/>
      <c r="F75" s="4"/>
      <c r="G75" s="4"/>
      <c r="H75" s="68"/>
    </row>
    <row r="76" spans="1:8" x14ac:dyDescent="0.25">
      <c r="A76" s="5"/>
      <c r="B76" s="3"/>
      <c r="C76" s="3"/>
      <c r="D76" s="4"/>
      <c r="E76" s="4"/>
      <c r="F76" s="4"/>
      <c r="G76" s="4"/>
      <c r="H76" s="68"/>
    </row>
    <row r="77" spans="1:8" ht="16.5" x14ac:dyDescent="0.25">
      <c r="A77" s="73"/>
      <c r="B77" s="3"/>
      <c r="C77" s="3"/>
      <c r="D77" s="4"/>
      <c r="E77" s="69"/>
      <c r="F77" s="69"/>
      <c r="G77" s="69"/>
      <c r="H77" s="71"/>
    </row>
    <row r="78" spans="1:8" x14ac:dyDescent="0.25">
      <c r="A78" s="388"/>
      <c r="B78" s="388"/>
      <c r="C78" s="388"/>
      <c r="D78" s="388"/>
      <c r="E78" s="69"/>
      <c r="F78" s="69"/>
      <c r="G78" s="69"/>
      <c r="H78" s="115"/>
    </row>
    <row r="79" spans="1:8" x14ac:dyDescent="0.25">
      <c r="A79" s="2"/>
      <c r="B79" s="3"/>
      <c r="C79" s="3"/>
      <c r="D79" s="4"/>
      <c r="E79" s="4"/>
      <c r="F79" s="4"/>
      <c r="G79" s="4"/>
      <c r="H79" s="65"/>
    </row>
    <row r="80" spans="1:8" x14ac:dyDescent="0.25">
      <c r="A80" s="388"/>
      <c r="B80" s="388"/>
      <c r="C80" s="388"/>
      <c r="D80" s="388"/>
      <c r="E80" s="4"/>
      <c r="F80" s="4"/>
      <c r="G80" s="4"/>
      <c r="H80" s="65"/>
    </row>
    <row r="81" spans="1:11" x14ac:dyDescent="0.25">
      <c r="A81" s="2"/>
      <c r="B81" s="3"/>
      <c r="C81" s="3"/>
      <c r="D81" s="4"/>
      <c r="E81" s="4"/>
      <c r="F81" s="4"/>
      <c r="G81" s="4"/>
      <c r="H81" s="68"/>
    </row>
    <row r="82" spans="1:11" x14ac:dyDescent="0.25">
      <c r="A82" s="2"/>
      <c r="B82" s="3"/>
      <c r="C82" s="3"/>
      <c r="D82" s="4"/>
      <c r="E82" s="4"/>
      <c r="F82" s="4"/>
      <c r="G82" s="4"/>
      <c r="H82" s="68"/>
    </row>
    <row r="83" spans="1:11" x14ac:dyDescent="0.25">
      <c r="A83" s="388"/>
      <c r="B83" s="388"/>
      <c r="C83" s="388"/>
      <c r="D83" s="388"/>
      <c r="E83" s="69"/>
      <c r="F83" s="69"/>
      <c r="G83" s="69"/>
      <c r="H83" s="68"/>
    </row>
    <row r="84" spans="1:11" ht="16.5" x14ac:dyDescent="0.25">
      <c r="A84" s="1"/>
      <c r="B84" s="3"/>
      <c r="C84" s="3"/>
      <c r="D84" s="4"/>
      <c r="E84" s="74"/>
      <c r="F84" s="74"/>
      <c r="G84" s="74"/>
      <c r="H84" s="65"/>
    </row>
    <row r="85" spans="1:11" x14ac:dyDescent="0.25">
      <c r="A85" s="2"/>
      <c r="B85" s="3"/>
      <c r="C85" s="3"/>
      <c r="D85" s="4"/>
      <c r="E85" s="4"/>
      <c r="F85" s="4"/>
      <c r="G85" s="4"/>
      <c r="H85" s="65"/>
      <c r="K85" s="102"/>
    </row>
    <row r="86" spans="1:11" x14ac:dyDescent="0.25">
      <c r="A86" s="1"/>
      <c r="B86" s="3"/>
      <c r="C86" s="3"/>
      <c r="D86" s="4"/>
      <c r="E86" s="4"/>
      <c r="F86" s="4"/>
      <c r="G86" s="4"/>
      <c r="H86" s="65"/>
    </row>
    <row r="87" spans="1:11" x14ac:dyDescent="0.25">
      <c r="A87" s="66"/>
      <c r="B87" s="3"/>
      <c r="C87" s="3"/>
      <c r="D87" s="4"/>
      <c r="E87" s="4"/>
      <c r="F87" s="4"/>
      <c r="G87" s="4"/>
      <c r="H87" s="115"/>
      <c r="K87" s="102"/>
    </row>
    <row r="88" spans="1:11" x14ac:dyDescent="0.25">
      <c r="A88" s="66"/>
      <c r="B88" s="3"/>
      <c r="C88" s="3"/>
      <c r="D88" s="4"/>
      <c r="E88" s="4"/>
      <c r="F88" s="4"/>
      <c r="G88" s="4"/>
      <c r="H88" s="115"/>
    </row>
    <row r="89" spans="1:11" x14ac:dyDescent="0.25">
      <c r="A89" s="258"/>
      <c r="B89" s="3"/>
      <c r="C89" s="3"/>
      <c r="D89" s="4"/>
      <c r="E89" s="4"/>
      <c r="F89" s="4"/>
      <c r="G89" s="4"/>
      <c r="H89" s="115"/>
    </row>
    <row r="90" spans="1:11" ht="30" customHeight="1" x14ac:dyDescent="0.25">
      <c r="A90" s="258"/>
      <c r="B90" s="3"/>
      <c r="C90" s="3"/>
      <c r="D90" s="4"/>
      <c r="E90" s="4"/>
      <c r="F90" s="4"/>
      <c r="G90" s="4"/>
      <c r="H90" s="115"/>
    </row>
    <row r="91" spans="1:11" x14ac:dyDescent="0.25">
      <c r="A91" s="75"/>
      <c r="B91" s="3"/>
      <c r="C91" s="3"/>
      <c r="D91" s="4"/>
      <c r="E91" s="4"/>
      <c r="F91" s="4"/>
      <c r="G91" s="4"/>
      <c r="H91" s="116"/>
    </row>
    <row r="92" spans="1:11" x14ac:dyDescent="0.25">
      <c r="A92" s="388"/>
      <c r="B92" s="388"/>
      <c r="C92" s="388"/>
      <c r="D92" s="388"/>
      <c r="E92" s="69"/>
      <c r="F92" s="69"/>
      <c r="G92" s="69"/>
      <c r="H92" s="115"/>
    </row>
    <row r="93" spans="1:11" x14ac:dyDescent="0.25">
      <c r="A93" s="388"/>
      <c r="B93" s="388"/>
      <c r="C93" s="388"/>
      <c r="D93" s="388"/>
      <c r="E93" s="69"/>
      <c r="F93" s="69"/>
      <c r="G93" s="69"/>
      <c r="H93" s="115"/>
    </row>
    <row r="94" spans="1:11" ht="19.5" customHeight="1" x14ac:dyDescent="0.25">
      <c r="A94" s="390"/>
      <c r="B94" s="390"/>
      <c r="C94" s="390"/>
      <c r="D94" s="391"/>
      <c r="E94" s="76"/>
      <c r="F94" s="76"/>
      <c r="G94" s="76"/>
      <c r="H94" s="103"/>
    </row>
    <row r="95" spans="1:11" x14ac:dyDescent="0.25">
      <c r="A95" s="271"/>
      <c r="B95" s="394"/>
      <c r="C95" s="395"/>
      <c r="D95" s="393"/>
      <c r="E95" s="77"/>
      <c r="F95" s="77"/>
      <c r="G95" s="77"/>
      <c r="H95" s="65"/>
    </row>
    <row r="96" spans="1:11" x14ac:dyDescent="0.25">
      <c r="A96" s="266"/>
      <c r="B96" s="382"/>
      <c r="C96" s="382"/>
      <c r="D96" s="382"/>
      <c r="E96" s="78"/>
      <c r="F96" s="78"/>
      <c r="G96" s="78"/>
      <c r="H96" s="80"/>
    </row>
    <row r="97" spans="1:12" x14ac:dyDescent="0.25">
      <c r="A97" s="262"/>
      <c r="B97" s="81"/>
      <c r="C97" s="82"/>
      <c r="D97" s="81"/>
      <c r="E97" s="78"/>
      <c r="F97" s="78"/>
      <c r="G97" s="78"/>
      <c r="H97" s="84"/>
    </row>
    <row r="98" spans="1:12" x14ac:dyDescent="0.25">
      <c r="A98" s="384"/>
      <c r="B98" s="384"/>
      <c r="C98" s="384"/>
      <c r="D98" s="384"/>
      <c r="E98" s="78"/>
      <c r="F98" s="78"/>
      <c r="G98" s="78"/>
      <c r="H98" s="85"/>
    </row>
    <row r="99" spans="1:12" x14ac:dyDescent="0.25">
      <c r="A99" s="268"/>
      <c r="B99" s="387"/>
      <c r="C99" s="387"/>
      <c r="D99" s="387"/>
      <c r="E99" s="78"/>
      <c r="F99" s="78"/>
      <c r="G99" s="78"/>
      <c r="H99" s="87"/>
    </row>
    <row r="100" spans="1:12" x14ac:dyDescent="0.25">
      <c r="A100" s="262"/>
      <c r="B100" s="375"/>
      <c r="C100" s="375"/>
      <c r="D100" s="375"/>
      <c r="E100" s="78"/>
      <c r="F100" s="280"/>
      <c r="G100" s="280"/>
      <c r="H100" s="264"/>
    </row>
    <row r="101" spans="1:12" x14ac:dyDescent="0.25">
      <c r="A101" s="89"/>
      <c r="B101" s="89"/>
      <c r="C101" s="89"/>
      <c r="D101" s="78"/>
      <c r="E101" s="78"/>
      <c r="F101" s="280"/>
      <c r="G101" s="280"/>
      <c r="H101" s="265"/>
    </row>
    <row r="102" spans="1:12" ht="16.5" thickBot="1" x14ac:dyDescent="0.3">
      <c r="A102" s="91"/>
      <c r="B102" s="92"/>
      <c r="C102" s="92"/>
      <c r="D102" s="93"/>
      <c r="E102" s="94"/>
      <c r="F102" s="94"/>
      <c r="G102" s="94"/>
      <c r="H102" s="96"/>
    </row>
    <row r="103" spans="1:12" ht="16.5" thickTop="1" x14ac:dyDescent="0.25"/>
    <row r="105" spans="1:12" x14ac:dyDescent="0.25">
      <c r="I105" s="104"/>
    </row>
    <row r="106" spans="1:12" x14ac:dyDescent="0.25">
      <c r="C106" s="234">
        <f>DATE(2013,4,30)</f>
        <v>41394</v>
      </c>
      <c r="D106" s="235">
        <f>DATE(2013,11,21)</f>
        <v>41599</v>
      </c>
      <c r="H106" s="235">
        <f>DATE(2015,10,2)</f>
        <v>42279</v>
      </c>
      <c r="K106" s="234">
        <f>DATE(2016,5,6)</f>
        <v>42496</v>
      </c>
      <c r="L106" s="235">
        <f>DATE(2016,12,26)</f>
        <v>42730</v>
      </c>
    </row>
    <row r="107" spans="1:12" ht="47.25" x14ac:dyDescent="0.25">
      <c r="C107" s="236" t="s">
        <v>199</v>
      </c>
      <c r="D107" s="237">
        <f>NETWORKDAYS(C106,D106,5)</f>
        <v>148</v>
      </c>
      <c r="E107" s="98" t="s">
        <v>201</v>
      </c>
      <c r="H107" s="237" t="e">
        <f>NETWORKDAYS(#REF!,H106,5)</f>
        <v>#REF!</v>
      </c>
      <c r="I107" s="20" t="s">
        <v>200</v>
      </c>
      <c r="K107" s="236" t="s">
        <v>91</v>
      </c>
      <c r="L107" s="237">
        <f>NETWORKDAYS(K106,L106,5)</f>
        <v>167</v>
      </c>
    </row>
    <row r="108" spans="1:12" ht="63" x14ac:dyDescent="0.25">
      <c r="C108" s="238" t="s">
        <v>86</v>
      </c>
      <c r="D108" s="239" t="s">
        <v>158</v>
      </c>
      <c r="H108" s="239" t="s">
        <v>158</v>
      </c>
      <c r="K108" s="238" t="s">
        <v>86</v>
      </c>
      <c r="L108" s="239" t="s">
        <v>158</v>
      </c>
    </row>
    <row r="109" spans="1:12" x14ac:dyDescent="0.25">
      <c r="C109" s="240">
        <f>D107/D109</f>
        <v>2.4666666666666668</v>
      </c>
      <c r="D109" s="241">
        <v>60</v>
      </c>
      <c r="H109" s="241">
        <v>60</v>
      </c>
      <c r="K109" s="240">
        <f>L107/L109</f>
        <v>2.7833333333333332</v>
      </c>
      <c r="L109" s="241">
        <v>60</v>
      </c>
    </row>
    <row r="110" spans="1:12" ht="15.75" customHeight="1" x14ac:dyDescent="0.25">
      <c r="C110" s="396" t="s">
        <v>156</v>
      </c>
      <c r="D110" s="397"/>
      <c r="H110" s="273"/>
      <c r="K110" s="396" t="s">
        <v>156</v>
      </c>
      <c r="L110" s="397"/>
    </row>
    <row r="111" spans="1:12" x14ac:dyDescent="0.25">
      <c r="C111" s="398">
        <f>D109-D107</f>
        <v>-88</v>
      </c>
      <c r="D111" s="399"/>
      <c r="H111" s="274"/>
      <c r="K111" s="398">
        <f>L109-L107</f>
        <v>-107</v>
      </c>
      <c r="L111" s="399"/>
    </row>
    <row r="116" spans="3:11" x14ac:dyDescent="0.25">
      <c r="C116" s="234">
        <f>DATE(2013,12,13)</f>
        <v>41621</v>
      </c>
      <c r="D116" s="235">
        <f>DATE(2015,10,2)</f>
        <v>42279</v>
      </c>
      <c r="H116" s="235">
        <f>DATE(2016,5,6)</f>
        <v>42496</v>
      </c>
    </row>
    <row r="117" spans="3:11" ht="47.25" x14ac:dyDescent="0.25">
      <c r="C117" s="236" t="s">
        <v>198</v>
      </c>
      <c r="D117" s="237">
        <f>DAYS360(C116,D116)</f>
        <v>649</v>
      </c>
      <c r="H117" s="237" t="e">
        <f>DAYS360(#REF!,H116)</f>
        <v>#REF!</v>
      </c>
      <c r="I117" s="20" t="s">
        <v>201</v>
      </c>
    </row>
    <row r="118" spans="3:11" ht="63" x14ac:dyDescent="0.25">
      <c r="C118" s="238" t="s">
        <v>86</v>
      </c>
      <c r="D118" s="239" t="s">
        <v>158</v>
      </c>
      <c r="H118" s="239" t="s">
        <v>158</v>
      </c>
      <c r="K118" s="20" t="s">
        <v>202</v>
      </c>
    </row>
    <row r="119" spans="3:11" x14ac:dyDescent="0.25">
      <c r="C119" s="240">
        <f>D117/D119</f>
        <v>10.816666666666666</v>
      </c>
      <c r="D119" s="241">
        <v>60</v>
      </c>
      <c r="H119" s="241">
        <v>60</v>
      </c>
    </row>
    <row r="120" spans="3:11" x14ac:dyDescent="0.25">
      <c r="C120" s="396" t="s">
        <v>156</v>
      </c>
      <c r="D120" s="397"/>
      <c r="H120" s="273"/>
    </row>
    <row r="121" spans="3:11" x14ac:dyDescent="0.25">
      <c r="C121" s="398">
        <f>D119-D117</f>
        <v>-589</v>
      </c>
      <c r="D121" s="399"/>
      <c r="H121" s="274"/>
    </row>
  </sheetData>
  <mergeCells count="30">
    <mergeCell ref="H2:H3"/>
    <mergeCell ref="A16:D16"/>
    <mergeCell ref="A80:D80"/>
    <mergeCell ref="A17:G17"/>
    <mergeCell ref="A20:D20"/>
    <mergeCell ref="A21:G21"/>
    <mergeCell ref="A26:D26"/>
    <mergeCell ref="A28:G28"/>
    <mergeCell ref="A40:D40"/>
    <mergeCell ref="A42:G42"/>
    <mergeCell ref="A47:D47"/>
    <mergeCell ref="A55:D55"/>
    <mergeCell ref="A62:D62"/>
    <mergeCell ref="A78:D78"/>
    <mergeCell ref="A2:G2"/>
    <mergeCell ref="C121:D121"/>
    <mergeCell ref="K110:L110"/>
    <mergeCell ref="C111:D111"/>
    <mergeCell ref="K111:L111"/>
    <mergeCell ref="C120:D120"/>
    <mergeCell ref="B100:D100"/>
    <mergeCell ref="C110:D110"/>
    <mergeCell ref="B96:D96"/>
    <mergeCell ref="A98:D98"/>
    <mergeCell ref="B99:D99"/>
    <mergeCell ref="A83:D83"/>
    <mergeCell ref="A92:D92"/>
    <mergeCell ref="A93:D93"/>
    <mergeCell ref="A94:D94"/>
    <mergeCell ref="B95:D95"/>
  </mergeCells>
  <pageMargins left="0.42" right="0.28999999999999998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DECOMPTE N°6</vt:lpstr>
      <vt:lpstr>ATTACHEMENT N°6</vt:lpstr>
      <vt:lpstr>AVANCEMENT</vt:lpstr>
      <vt:lpstr>consomation délai</vt:lpstr>
      <vt:lpstr>consomation délai (2)</vt:lpstr>
      <vt:lpstr>consomation délai (3)</vt:lpstr>
      <vt:lpstr>AVANCEMENT Final</vt:lpstr>
      <vt:lpstr>DECOMPTE N°6 (2)</vt:lpstr>
      <vt:lpstr>Tableau délais 1</vt:lpstr>
      <vt:lpstr>Tableau délais 2</vt:lpstr>
      <vt:lpstr>'ATTACHEMENT N°6'!Zone_d_impression</vt:lpstr>
      <vt:lpstr>AVANCEMENT!Zone_d_impression</vt:lpstr>
      <vt:lpstr>'AVANCEMENT Final'!Zone_d_impression</vt:lpstr>
      <vt:lpstr>'DECOMPTE N°6'!Zone_d_impression</vt:lpstr>
      <vt:lpstr>'DECOMPTE N°6 (2)'!Zone_d_impression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AMLA-CAMEROUN</dc:creator>
  <cp:lastModifiedBy>AMLA-CAMEROUN</cp:lastModifiedBy>
  <cp:lastPrinted>2019-05-21T15:00:37Z</cp:lastPrinted>
  <dcterms:created xsi:type="dcterms:W3CDTF">2013-12-13T16:07:18Z</dcterms:created>
  <dcterms:modified xsi:type="dcterms:W3CDTF">2019-11-11T16:05:53Z</dcterms:modified>
</cp:coreProperties>
</file>